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АЖ ОП" sheetId="1" r:id="rId4"/>
    <sheet state="visible" name="ВАЖ ОС" sheetId="2" r:id="rId5"/>
    <sheet state="visible" name="СТО" sheetId="3" r:id="rId6"/>
    <sheet state="visible" name="ВАБ ОП" sheetId="4" r:id="rId7"/>
    <sheet state="visible" name="ВАБ ОС" sheetId="5" r:id="rId8"/>
    <sheet state="visible" name="Ауди ОП" sheetId="6" r:id="rId9"/>
    <sheet state="visible" name="Ауди ОС" sheetId="7" r:id="rId10"/>
    <sheet state="visible" name="Омега ОП" sheetId="8" r:id="rId11"/>
    <sheet state="visible" name="Омега ОС" sheetId="9" r:id="rId12"/>
    <sheet state="visible" name="Расход сверка из аккаунтов (с и" sheetId="10" r:id="rId13"/>
    <sheet state="visible" name="По месяцам ВАЖ" sheetId="11" r:id="rId14"/>
  </sheets>
  <definedNames/>
  <calcPr/>
</workbook>
</file>

<file path=xl/sharedStrings.xml><?xml version="1.0" encoding="utf-8"?>
<sst xmlns="http://schemas.openxmlformats.org/spreadsheetml/2006/main" count="3241" uniqueCount="154">
  <si>
    <t>ВАЖ ОП Декабрь21</t>
  </si>
  <si>
    <t>План</t>
  </si>
  <si>
    <t>Факт</t>
  </si>
  <si>
    <t>Выполнено %</t>
  </si>
  <si>
    <t>Осталось</t>
  </si>
  <si>
    <t xml:space="preserve">RR </t>
  </si>
  <si>
    <t>RR %</t>
  </si>
  <si>
    <t>Выполнение-Невыполнение плана</t>
  </si>
  <si>
    <t xml:space="preserve">План в день в динамике </t>
  </si>
  <si>
    <t>План на день</t>
  </si>
  <si>
    <t>Факт в день</t>
  </si>
  <si>
    <t>Дневной бюджет аккаунта</t>
  </si>
  <si>
    <t xml:space="preserve">Лидов/мес </t>
  </si>
  <si>
    <t>CPL/мес  с НДС</t>
  </si>
  <si>
    <t>Бюджет/мес с НДС</t>
  </si>
  <si>
    <t xml:space="preserve"> ВАЖ  ОП в разрезе источников</t>
  </si>
  <si>
    <t>Декабрь 2021 Яндекс Поиск</t>
  </si>
  <si>
    <t>Допустим дневной бюджет аккаунта до НДС</t>
  </si>
  <si>
    <t>CPL/мес с НДС</t>
  </si>
  <si>
    <t>Декабрь 2021 Яндекс Поиск по дням</t>
  </si>
  <si>
    <t>ср</t>
  </si>
  <si>
    <t>чт</t>
  </si>
  <si>
    <t>пт</t>
  </si>
  <si>
    <t>сб</t>
  </si>
  <si>
    <t>вс</t>
  </si>
  <si>
    <t>пн</t>
  </si>
  <si>
    <t>вт</t>
  </si>
  <si>
    <t>Продажи</t>
  </si>
  <si>
    <t>Расход/день с НДС</t>
  </si>
  <si>
    <t>Лиды/день</t>
  </si>
  <si>
    <t>CPL/день с НДС</t>
  </si>
  <si>
    <t>Декабрь 2021 РСЯ</t>
  </si>
  <si>
    <t xml:space="preserve">Декабрь 2021 РСЯ по дням
</t>
  </si>
  <si>
    <t xml:space="preserve">Декабрь 2021 GAds ОП 
(Ваша компания)
</t>
  </si>
  <si>
    <t>RR прогноз</t>
  </si>
  <si>
    <t>Декабрь 2021 GAds по дням</t>
  </si>
  <si>
    <t xml:space="preserve">  </t>
  </si>
  <si>
    <t>ВАЖ ОП Ноябрь21</t>
  </si>
  <si>
    <t>Ноябрь 2021 Яндекс Поиск</t>
  </si>
  <si>
    <t>Ноябрь 2021 Яндекс Поиск по дням</t>
  </si>
  <si>
    <t>Ноябрь  2021 РСЯ</t>
  </si>
  <si>
    <t xml:space="preserve">Ноябрь 2021 РСЯ по дням
</t>
  </si>
  <si>
    <t xml:space="preserve">Ноябрь 2021 GAds ОП 
(Ваша компания)
</t>
  </si>
  <si>
    <t>Ноябрь 2021 GAds по дням</t>
  </si>
  <si>
    <t xml:space="preserve"> </t>
  </si>
  <si>
    <t>ВАЖ ОП Октябрь21</t>
  </si>
  <si>
    <t>Октябрь 2021 Яндекс Поиск</t>
  </si>
  <si>
    <t>Октябрь 2021 Яндекс Поиск по дням</t>
  </si>
  <si>
    <t>Октябрь  2021 РСЯ</t>
  </si>
  <si>
    <t xml:space="preserve">Октябрь 2021 РСЯ по дням
</t>
  </si>
  <si>
    <t xml:space="preserve">Октябрь2021 GAds ОП 
(Ваша компания)
</t>
  </si>
  <si>
    <t>Октябрь 2021 GAds по дням</t>
  </si>
  <si>
    <t xml:space="preserve">Сентябрь 2021 </t>
  </si>
  <si>
    <t>ВАЖ ОП</t>
  </si>
  <si>
    <t>Сентябрь 2021 Яндекс Поиск</t>
  </si>
  <si>
    <t>Сентябрь 2021 Яндекс Поиск по дням</t>
  </si>
  <si>
    <t>Сентябрь  2021 РСЯ</t>
  </si>
  <si>
    <t xml:space="preserve">Сентябрь 2021 РСЯ по дням
</t>
  </si>
  <si>
    <t xml:space="preserve">Сентябрь 2021 GAds ОП 
(Ваша компания)
</t>
  </si>
  <si>
    <t>Сентябрь 2021 GAds по дням</t>
  </si>
  <si>
    <t xml:space="preserve"> Декабрь 2021</t>
  </si>
  <si>
    <t>RR%</t>
  </si>
  <si>
    <t>План в день в динамике</t>
  </si>
  <si>
    <t>План в день</t>
  </si>
  <si>
    <t>Дневной бюджет аккаунтов</t>
  </si>
  <si>
    <t xml:space="preserve">Бюджет/мес с НДС </t>
  </si>
  <si>
    <t xml:space="preserve"> ВАЖ  ОС в разрезе источников</t>
  </si>
  <si>
    <t xml:space="preserve"> Декабрь 2021 Яндекс Поиск (Ваша компания)</t>
  </si>
  <si>
    <t>Факт  Декабрь 2021 по дням Яндекс Поиск ОС</t>
  </si>
  <si>
    <t>Сервис</t>
  </si>
  <si>
    <t xml:space="preserve"> Декабрь 2021 РСЯ ОС (Ваша компания)</t>
  </si>
  <si>
    <t xml:space="preserve">RR% </t>
  </si>
  <si>
    <t xml:space="preserve"> Декабрь 2021 Факт по дням РСЯ ОС</t>
  </si>
  <si>
    <t xml:space="preserve"> Декабрь 2021 Гугл Поиск Сервис (Ваша компания)</t>
  </si>
  <si>
    <t>Выполнение - невыполнение</t>
  </si>
  <si>
    <t xml:space="preserve">План в день </t>
  </si>
  <si>
    <t xml:space="preserve">Факт в день </t>
  </si>
  <si>
    <t>Декабрь 2021 Факт по дням Гугл Поиск ОС</t>
  </si>
  <si>
    <t xml:space="preserve"> Ноябрь</t>
  </si>
  <si>
    <t>Ноябрь 2021 Яндекс Поиск (Ваша компания)</t>
  </si>
  <si>
    <t>Факт Ноябрь 2021 по дням Яндекс Поиск ОС</t>
  </si>
  <si>
    <t>Ноябрь 2021 РСЯ ОС (Ваша компания)</t>
  </si>
  <si>
    <t>Ноябрь 2021 Факт по дням РСЯ ОС</t>
  </si>
  <si>
    <t>Ноябрь 2021 Гугл Поиск Сервис (Ваша компания)</t>
  </si>
  <si>
    <t>Ноябрь 2021 Факт по дням Гугл Поиск ОС</t>
  </si>
  <si>
    <t xml:space="preserve"> ВАЖ ОС Октябрь21</t>
  </si>
  <si>
    <t>Октябрь 2021 Яндекс Поиск (Ваша компания)</t>
  </si>
  <si>
    <t>Факт Октябрь 2021 по дням Яндекс Поиск ОС</t>
  </si>
  <si>
    <t>Октябрь 2021 РСЯ ОС (Ваша компания)</t>
  </si>
  <si>
    <t>Октябрь 2021 Факт по дням РСЯ ОС</t>
  </si>
  <si>
    <t>Октябрь 2021 Гугл Поиск Сервис (Ваша компания)</t>
  </si>
  <si>
    <t>Октябрь 2021 Факт по дням Гугл Поиск ОС</t>
  </si>
  <si>
    <t>ДЕКАБРЬ 2021</t>
  </si>
  <si>
    <t>Лиды</t>
  </si>
  <si>
    <t>CPL</t>
  </si>
  <si>
    <t>Бюджет</t>
  </si>
  <si>
    <t>В разрезе источников</t>
  </si>
  <si>
    <t>Яндекс Поиск</t>
  </si>
  <si>
    <t>Яндекс Поиск по дням</t>
  </si>
  <si>
    <t>Расход</t>
  </si>
  <si>
    <t>GAds</t>
  </si>
  <si>
    <t>GAds по дням</t>
  </si>
  <si>
    <t>НОЯБРЬ 2021</t>
  </si>
  <si>
    <t>ОКТЯБРЬ 2021</t>
  </si>
  <si>
    <t>СЕНТЯБРЬ 2021</t>
  </si>
  <si>
    <t>Выполнение/Невыполнение плана</t>
  </si>
  <si>
    <t>РСЯ</t>
  </si>
  <si>
    <t>Яндекс РСЯ по дням</t>
  </si>
  <si>
    <t>РСЯ по дням</t>
  </si>
  <si>
    <t>Яндекс Поиск + РСЯ</t>
  </si>
  <si>
    <t>-</t>
  </si>
  <si>
    <t>РСЯ Поиск по дням</t>
  </si>
  <si>
    <t>GAds + Youtube</t>
  </si>
  <si>
    <t>GAds Youtube</t>
  </si>
  <si>
    <t>GAds Youtube по дням</t>
  </si>
  <si>
    <t>Декабрь 2021</t>
  </si>
  <si>
    <t>Дни</t>
  </si>
  <si>
    <t>Яндекс Поиск + РСЯ (Ваша компания)</t>
  </si>
  <si>
    <t>GAds (Ваша компания)</t>
  </si>
  <si>
    <t>1209.93</t>
  </si>
  <si>
    <t>2008.52</t>
  </si>
  <si>
    <t>974.15</t>
  </si>
  <si>
    <t>807.40</t>
  </si>
  <si>
    <t>Ноябрь 2021</t>
  </si>
  <si>
    <t>Октябрь 2021</t>
  </si>
  <si>
    <t>Яндекс Поиск + РСЯ LR</t>
  </si>
  <si>
    <t>GAds LR</t>
  </si>
  <si>
    <t>Ноябрь 2021 с НДС</t>
  </si>
  <si>
    <t>(Ваша компания) (продажи)</t>
  </si>
  <si>
    <t>Расход * 0,4%</t>
  </si>
  <si>
    <t>Яндекс поиск</t>
  </si>
  <si>
    <t>Meeting Point</t>
  </si>
  <si>
    <t>Яндекс сеть</t>
  </si>
  <si>
    <t>Гугл поиск</t>
  </si>
  <si>
    <t>Youtube</t>
  </si>
  <si>
    <t>предоплата</t>
  </si>
  <si>
    <t>(Ваша компания) (сервис)</t>
  </si>
  <si>
    <t>Яндекс Медийка</t>
  </si>
  <si>
    <t>Гугл Медийка Youtube</t>
  </si>
  <si>
    <t>(Ваша компания)</t>
  </si>
  <si>
    <t>Комииссия</t>
  </si>
  <si>
    <t>Комиисия</t>
  </si>
  <si>
    <t>(Ваша компания) продажи</t>
  </si>
  <si>
    <t>(Ваша компания) сервис</t>
  </si>
  <si>
    <t>Октябрь 2021 с НДС</t>
  </si>
  <si>
    <t>Сентябрь 2021 с НДС</t>
  </si>
  <si>
    <t>(Ваша компания) (СТО)</t>
  </si>
  <si>
    <t>(Ваша компания)  продажи</t>
  </si>
  <si>
    <t>171 429,10</t>
  </si>
  <si>
    <t>188 539,86</t>
  </si>
  <si>
    <t>40 511,51</t>
  </si>
  <si>
    <t xml:space="preserve">ВАЖ ОП Октябрь21 </t>
  </si>
  <si>
    <t xml:space="preserve"> ВАЖ Сервис Октябрь21</t>
  </si>
  <si>
    <t xml:space="preserve"> (Ваша компания) ОП в разрезе источников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</si>
</sst>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&quot;..&quot;"/>
    <numFmt numFmtId="165" formatCode="dd.MM.yyyy"/>
    <numFmt numFmtId="166" formatCode="0.0"/>
    <numFmt numFmtId="167" formatCode="dd.mm.yyyy"/>
    <numFmt numFmtId="168" formatCode="#,##0.0"/>
    <numFmt numFmtId="169" formatCode="ddd&quot;, &quot;d&quot; &quot;mmm&quot; &quot;"/>
  </numFmts>
  <fonts count="19">
    <font>
      <sz val="10.0"/>
      <color rgb="FF000000"/>
      <name val="Arial"/>
    </font>
    <font>
      <b/>
      <sz val="14.0"/>
      <color theme="1"/>
      <name val="Arial"/>
    </font>
    <font>
      <b/>
      <sz val="11.0"/>
      <color theme="1"/>
      <name val="Arial"/>
    </font>
    <font>
      <color theme="1"/>
      <name val="Arial"/>
    </font>
    <font>
      <b/>
      <sz val="11.0"/>
      <color rgb="FF000000"/>
      <name val="Arial"/>
    </font>
    <font>
      <b/>
      <sz val="11.0"/>
      <color rgb="FF666666"/>
      <name val="Arial"/>
    </font>
    <font>
      <sz val="11.0"/>
      <color rgb="FF666666"/>
      <name val="Arial"/>
    </font>
    <font>
      <b/>
      <color theme="1"/>
      <name val="Arial"/>
    </font>
    <font>
      <b/>
      <sz val="11.0"/>
      <color rgb="FFCCCCCC"/>
      <name val="Arial"/>
    </font>
    <font>
      <color rgb="FFD9D9D9"/>
      <name val="Arial"/>
    </font>
    <font>
      <b/>
      <sz val="11.0"/>
      <color rgb="FFD9D9D9"/>
      <name val="Arial"/>
    </font>
    <font>
      <b/>
      <sz val="11.0"/>
      <color rgb="FF999999"/>
      <name val="Arial"/>
    </font>
    <font>
      <sz val="11.0"/>
      <color theme="1"/>
      <name val="Arial"/>
    </font>
    <font>
      <sz val="11.0"/>
      <color rgb="FF000000"/>
      <name val="Arial"/>
    </font>
    <font>
      <b/>
      <strike/>
      <sz val="11.0"/>
      <color theme="1"/>
      <name val="Arial"/>
    </font>
    <font>
      <strike/>
      <sz val="11.0"/>
      <color theme="1"/>
      <name val="Arial"/>
    </font>
    <font>
      <sz val="11.0"/>
      <color rgb="FF999999"/>
      <name val="Arial"/>
    </font>
    <font>
      <sz val="8.0"/>
      <color theme="1"/>
      <name val="Arial"/>
    </font>
    <font>
      <b/>
      <sz val="12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top" wrapText="1"/>
    </xf>
    <xf borderId="0" fillId="2" fontId="2" numFmtId="3" xfId="0" applyAlignment="1" applyFont="1" applyNumberFormat="1">
      <alignment horizontal="right" shrinkToFit="0" vertical="top" wrapText="1"/>
    </xf>
    <xf borderId="0" fillId="2" fontId="2" numFmtId="0" xfId="0" applyAlignment="1" applyFont="1">
      <alignment horizontal="right" shrinkToFit="0" vertical="top" wrapText="1"/>
    </xf>
    <xf borderId="0" fillId="2" fontId="2" numFmtId="4" xfId="0" applyAlignment="1" applyFont="1" applyNumberFormat="1">
      <alignment horizontal="right" readingOrder="0" shrinkToFit="0" vertical="top" wrapText="1"/>
    </xf>
    <xf borderId="0" fillId="2" fontId="2" numFmtId="4" xfId="0" applyAlignment="1" applyFont="1" applyNumberFormat="1">
      <alignment horizontal="right" shrinkToFit="0" vertical="top" wrapText="1"/>
    </xf>
    <xf borderId="0" fillId="2" fontId="3" numFmtId="0" xfId="0" applyAlignment="1" applyFont="1">
      <alignment vertical="top"/>
    </xf>
    <xf borderId="0" fillId="0" fontId="2" numFmtId="0" xfId="0" applyAlignment="1" applyFont="1">
      <alignment shrinkToFit="0" vertical="top" wrapText="1"/>
    </xf>
    <xf borderId="0" fillId="0" fontId="2" numFmtId="3" xfId="0" applyAlignment="1" applyFont="1" applyNumberFormat="1">
      <alignment horizontal="right" readingOrder="0" shrinkToFit="0" vertical="top" wrapText="1"/>
    </xf>
    <xf borderId="0" fillId="0" fontId="2" numFmtId="3" xfId="0" applyAlignment="1" applyFont="1" applyNumberFormat="1">
      <alignment horizontal="right" shrinkToFit="0" vertical="top" wrapText="1"/>
    </xf>
    <xf borderId="0" fillId="0" fontId="2" numFmtId="9" xfId="0" applyAlignment="1" applyFont="1" applyNumberFormat="1">
      <alignment horizontal="right" shrinkToFit="0" vertical="top" wrapText="1"/>
    </xf>
    <xf borderId="0" fillId="3" fontId="4" numFmtId="3" xfId="0" applyAlignment="1" applyFill="1" applyFont="1" applyNumberFormat="1">
      <alignment horizontal="right" readingOrder="0" shrinkToFit="0" vertical="top" wrapText="1"/>
    </xf>
    <xf borderId="0" fillId="0" fontId="2" numFmtId="1" xfId="0" applyAlignment="1" applyFont="1" applyNumberFormat="1">
      <alignment horizontal="right" shrinkToFit="0" vertical="top" wrapText="1"/>
    </xf>
    <xf borderId="0" fillId="0" fontId="2" numFmtId="0" xfId="0" applyAlignment="1" applyFont="1">
      <alignment horizontal="right" shrinkToFit="0" vertical="top" wrapText="1"/>
    </xf>
    <xf borderId="0" fillId="4" fontId="4" numFmtId="3" xfId="0" applyAlignment="1" applyFill="1" applyFont="1" applyNumberFormat="1">
      <alignment horizontal="center" shrinkToFit="0" vertical="top" wrapText="1"/>
    </xf>
    <xf borderId="0" fillId="4" fontId="4" numFmtId="14" xfId="0" applyAlignment="1" applyFont="1" applyNumberFormat="1">
      <alignment horizontal="center" shrinkToFit="0" vertical="top" wrapText="1"/>
    </xf>
    <xf borderId="0" fillId="0" fontId="2" numFmtId="4" xfId="0" applyAlignment="1" applyFont="1" applyNumberFormat="1">
      <alignment horizontal="right" shrinkToFit="0" vertical="top" wrapText="1"/>
    </xf>
    <xf borderId="0" fillId="4" fontId="4" numFmtId="164" xfId="0" applyAlignment="1" applyFont="1" applyNumberFormat="1">
      <alignment horizontal="center" shrinkToFit="0" vertical="top" wrapText="1"/>
    </xf>
    <xf borderId="0" fillId="4" fontId="3" numFmtId="165" xfId="0" applyAlignment="1" applyFont="1" applyNumberFormat="1">
      <alignment vertical="top"/>
    </xf>
    <xf borderId="0" fillId="3" fontId="4" numFmtId="3" xfId="0" applyAlignment="1" applyFont="1" applyNumberFormat="1">
      <alignment horizontal="right" shrinkToFit="0" vertical="top" wrapText="1"/>
    </xf>
    <xf borderId="0" fillId="4" fontId="3" numFmtId="0" xfId="0" applyAlignment="1" applyFont="1">
      <alignment vertical="top"/>
    </xf>
    <xf borderId="0" fillId="3" fontId="1" numFmtId="0" xfId="0" applyAlignment="1" applyFont="1">
      <alignment shrinkToFit="0" vertical="top" wrapText="1"/>
    </xf>
    <xf borderId="0" fillId="3" fontId="3" numFmtId="3" xfId="0" applyAlignment="1" applyFont="1" applyNumberFormat="1">
      <alignment vertical="top"/>
    </xf>
    <xf borderId="0" fillId="3" fontId="3" numFmtId="4" xfId="0" applyAlignment="1" applyFont="1" applyNumberFormat="1">
      <alignment vertical="top"/>
    </xf>
    <xf borderId="0" fillId="3" fontId="3" numFmtId="0" xfId="0" applyAlignment="1" applyFont="1">
      <alignment vertical="top"/>
    </xf>
    <xf borderId="0" fillId="3" fontId="1" numFmtId="0" xfId="0" applyAlignment="1" applyFont="1">
      <alignment readingOrder="0" shrinkToFit="0" vertical="top" wrapText="1"/>
    </xf>
    <xf borderId="0" fillId="5" fontId="2" numFmtId="0" xfId="0" applyAlignment="1" applyFill="1" applyFont="1">
      <alignment readingOrder="0" shrinkToFit="0" vertical="top" wrapText="1"/>
    </xf>
    <xf borderId="0" fillId="5" fontId="2" numFmtId="3" xfId="0" applyAlignment="1" applyFont="1" applyNumberFormat="1">
      <alignment horizontal="right" shrinkToFit="0" vertical="top" wrapText="1"/>
    </xf>
    <xf borderId="0" fillId="5" fontId="2" numFmtId="4" xfId="0" applyAlignment="1" applyFont="1" applyNumberFormat="1">
      <alignment horizontal="right" shrinkToFit="0" vertical="top" wrapText="1"/>
    </xf>
    <xf borderId="0" fillId="5" fontId="2" numFmtId="4" xfId="0" applyAlignment="1" applyFont="1" applyNumberFormat="1">
      <alignment horizontal="right" readingOrder="0" shrinkToFit="0" vertical="top" wrapText="1"/>
    </xf>
    <xf borderId="0" fillId="5" fontId="3" numFmtId="0" xfId="0" applyAlignment="1" applyFont="1">
      <alignment vertical="top"/>
    </xf>
    <xf borderId="0" fillId="0" fontId="3" numFmtId="165" xfId="0" applyAlignment="1" applyFont="1" applyNumberFormat="1">
      <alignment vertical="top"/>
    </xf>
    <xf borderId="0" fillId="0" fontId="2" numFmtId="1" xfId="0" applyAlignment="1" applyFont="1" applyNumberFormat="1">
      <alignment horizontal="right" readingOrder="0" shrinkToFit="0" vertical="top" wrapText="1"/>
    </xf>
    <xf borderId="0" fillId="5" fontId="5" numFmtId="0" xfId="0" applyAlignment="1" applyFont="1">
      <alignment readingOrder="0" shrinkToFit="0" vertical="top" wrapText="1"/>
    </xf>
    <xf borderId="0" fillId="5" fontId="6" numFmtId="3" xfId="0" applyAlignment="1" applyFont="1" applyNumberFormat="1">
      <alignment horizontal="right" readingOrder="0" shrinkToFit="0" vertical="top" wrapText="1"/>
    </xf>
    <xf borderId="0" fillId="3" fontId="5" numFmtId="0" xfId="0" applyAlignment="1" applyFont="1">
      <alignment shrinkToFit="0" vertical="top" wrapText="1"/>
    </xf>
    <xf borderId="0" fillId="3" fontId="5" numFmtId="165" xfId="0" applyAlignment="1" applyFont="1" applyNumberFormat="1">
      <alignment horizontal="right" readingOrder="0" shrinkToFit="0" vertical="top" wrapText="1"/>
    </xf>
    <xf borderId="0" fillId="3" fontId="3" numFmtId="165" xfId="0" applyAlignment="1" applyFont="1" applyNumberFormat="1">
      <alignment vertical="top"/>
    </xf>
    <xf borderId="0" fillId="3" fontId="6" numFmtId="3" xfId="0" applyAlignment="1" applyFont="1" applyNumberFormat="1">
      <alignment horizontal="right" readingOrder="0" shrinkToFit="0" vertical="top" wrapText="1"/>
    </xf>
    <xf borderId="0" fillId="3" fontId="6" numFmtId="3" xfId="0" applyAlignment="1" applyFont="1" applyNumberFormat="1">
      <alignment horizontal="right" shrinkToFit="0" vertical="top" wrapText="1"/>
    </xf>
    <xf borderId="0" fillId="4" fontId="3" numFmtId="4" xfId="0" applyAlignment="1" applyFont="1" applyNumberFormat="1">
      <alignment vertical="top"/>
    </xf>
    <xf borderId="0" fillId="0" fontId="6" numFmtId="3" xfId="0" applyAlignment="1" applyFont="1" applyNumberFormat="1">
      <alignment horizontal="right" readingOrder="0" shrinkToFit="0" vertical="top" wrapText="1"/>
    </xf>
    <xf borderId="0" fillId="6" fontId="3" numFmtId="0" xfId="0" applyAlignment="1" applyFill="1" applyFont="1">
      <alignment vertical="top"/>
    </xf>
    <xf borderId="0" fillId="6" fontId="3" numFmtId="3" xfId="0" applyAlignment="1" applyFont="1" applyNumberFormat="1">
      <alignment vertical="top"/>
    </xf>
    <xf borderId="0" fillId="6" fontId="3" numFmtId="4" xfId="0" applyAlignment="1" applyFont="1" applyNumberFormat="1">
      <alignment vertical="top"/>
    </xf>
    <xf borderId="0" fillId="0" fontId="7" numFmtId="9" xfId="0" applyFont="1" applyNumberFormat="1"/>
    <xf borderId="0" fillId="0" fontId="2" numFmtId="166" xfId="0" applyAlignment="1" applyFont="1" applyNumberFormat="1">
      <alignment horizontal="right" shrinkToFit="0" vertical="top" wrapText="1"/>
    </xf>
    <xf borderId="0" fillId="3" fontId="7" numFmtId="3" xfId="0" applyAlignment="1" applyFont="1" applyNumberFormat="1">
      <alignment vertical="top"/>
    </xf>
    <xf borderId="0" fillId="3" fontId="5" numFmtId="167" xfId="0" applyAlignment="1" applyFont="1" applyNumberFormat="1">
      <alignment horizontal="right" readingOrder="0" shrinkToFit="0" vertical="top" wrapText="1"/>
    </xf>
    <xf borderId="0" fillId="0" fontId="5" numFmtId="0" xfId="0" applyAlignment="1" applyFont="1">
      <alignment shrinkToFit="0" vertical="top" wrapText="1"/>
    </xf>
    <xf borderId="0" fillId="0" fontId="3" numFmtId="0" xfId="0" applyAlignment="1" applyFont="1">
      <alignment readingOrder="0"/>
    </xf>
    <xf borderId="0" fillId="0" fontId="3" numFmtId="0" xfId="0" applyAlignment="1" applyFont="1">
      <alignment vertical="top"/>
    </xf>
    <xf borderId="0" fillId="0" fontId="3" numFmtId="1" xfId="0" applyAlignment="1" applyFont="1" applyNumberFormat="1">
      <alignment readingOrder="0" vertical="top"/>
    </xf>
    <xf borderId="0" fillId="0" fontId="6" numFmtId="3" xfId="0" applyAlignment="1" applyFont="1" applyNumberFormat="1">
      <alignment horizontal="right" shrinkToFit="0" vertical="top" wrapText="1"/>
    </xf>
    <xf borderId="0" fillId="0" fontId="3" numFmtId="1" xfId="0" applyAlignment="1" applyFont="1" applyNumberFormat="1">
      <alignment vertical="top"/>
    </xf>
    <xf borderId="0" fillId="0" fontId="6" numFmtId="4" xfId="0" applyAlignment="1" applyFont="1" applyNumberFormat="1">
      <alignment horizontal="right" shrinkToFit="0" vertical="top" wrapText="1"/>
    </xf>
    <xf borderId="0" fillId="7" fontId="2" numFmtId="3" xfId="0" applyAlignment="1" applyFill="1" applyFont="1" applyNumberFormat="1">
      <alignment horizontal="right" shrinkToFit="0" vertical="top" wrapText="1"/>
    </xf>
    <xf borderId="0" fillId="2" fontId="8" numFmtId="4" xfId="0" applyAlignment="1" applyFont="1" applyNumberFormat="1">
      <alignment horizontal="right" readingOrder="0" shrinkToFit="0" vertical="top" wrapText="1"/>
    </xf>
    <xf borderId="0" fillId="2" fontId="8" numFmtId="4" xfId="0" applyAlignment="1" applyFont="1" applyNumberFormat="1">
      <alignment horizontal="right" shrinkToFit="0" vertical="top" wrapText="1"/>
    </xf>
    <xf borderId="0" fillId="2" fontId="9" numFmtId="0" xfId="0" applyAlignment="1" applyFont="1">
      <alignment vertical="top"/>
    </xf>
    <xf borderId="0" fillId="0" fontId="8" numFmtId="3" xfId="0" applyAlignment="1" applyFont="1" applyNumberFormat="1">
      <alignment horizontal="right" shrinkToFit="0" vertical="top" wrapText="1"/>
    </xf>
    <xf borderId="0" fillId="0" fontId="8" numFmtId="9" xfId="0" applyAlignment="1" applyFont="1" applyNumberFormat="1">
      <alignment horizontal="right" shrinkToFit="0" vertical="top" wrapText="1"/>
    </xf>
    <xf borderId="0" fillId="3" fontId="8" numFmtId="3" xfId="0" applyAlignment="1" applyFont="1" applyNumberFormat="1">
      <alignment horizontal="right" readingOrder="0" shrinkToFit="0" vertical="top" wrapText="1"/>
    </xf>
    <xf borderId="0" fillId="0" fontId="8" numFmtId="1" xfId="0" applyAlignment="1" applyFont="1" applyNumberFormat="1">
      <alignment horizontal="right" shrinkToFit="0" vertical="top" wrapText="1"/>
    </xf>
    <xf borderId="0" fillId="0" fontId="8" numFmtId="0" xfId="0" applyAlignment="1" applyFont="1">
      <alignment horizontal="right" shrinkToFit="0" vertical="top" wrapText="1"/>
    </xf>
    <xf borderId="0" fillId="0" fontId="10" numFmtId="0" xfId="0" applyAlignment="1" applyFont="1">
      <alignment horizontal="right" shrinkToFit="0" vertical="top" wrapText="1"/>
    </xf>
    <xf borderId="0" fillId="0" fontId="8" numFmtId="3" xfId="0" applyAlignment="1" applyFont="1" applyNumberFormat="1">
      <alignment horizontal="right" readingOrder="0" shrinkToFit="0" vertical="top" wrapText="1"/>
    </xf>
    <xf borderId="0" fillId="0" fontId="8" numFmtId="4" xfId="0" applyAlignment="1" applyFont="1" applyNumberFormat="1">
      <alignment horizontal="right" shrinkToFit="0" vertical="top" wrapText="1"/>
    </xf>
    <xf borderId="0" fillId="3" fontId="8" numFmtId="3" xfId="0" applyAlignment="1" applyFont="1" applyNumberFormat="1">
      <alignment horizontal="right" shrinkToFit="0" vertical="top" wrapText="1"/>
    </xf>
    <xf borderId="0" fillId="5" fontId="6" numFmtId="3" xfId="0" applyAlignment="1" applyFont="1" applyNumberFormat="1">
      <alignment horizontal="right" shrinkToFit="0" vertical="top" wrapText="1"/>
    </xf>
    <xf borderId="0" fillId="3" fontId="5" numFmtId="167" xfId="0" applyAlignment="1" applyFont="1" applyNumberFormat="1">
      <alignment horizontal="right" shrinkToFit="0" vertical="top" wrapText="1"/>
    </xf>
    <xf borderId="0" fillId="5" fontId="2" numFmtId="0" xfId="0" applyAlignment="1" applyFont="1">
      <alignment shrinkToFit="0" vertical="top" wrapText="1"/>
    </xf>
    <xf borderId="0" fillId="5" fontId="5" numFmtId="0" xfId="0" applyAlignment="1" applyFont="1">
      <alignment shrinkToFit="0" vertical="top" wrapText="1"/>
    </xf>
    <xf borderId="0" fillId="0" fontId="2" numFmtId="10" xfId="0" applyAlignment="1" applyFont="1" applyNumberFormat="1">
      <alignment horizontal="right" shrinkToFit="0" vertical="top" wrapText="1"/>
    </xf>
    <xf borderId="0" fillId="2" fontId="2" numFmtId="0" xfId="0" applyAlignment="1" applyFont="1">
      <alignment readingOrder="0" shrinkToFit="0" vertical="top" wrapText="1"/>
    </xf>
    <xf borderId="0" fillId="2" fontId="2" numFmtId="0" xfId="0" applyAlignment="1" applyFont="1">
      <alignment horizontal="right" readingOrder="0" shrinkToFit="0" vertical="top" wrapText="1"/>
    </xf>
    <xf borderId="0" fillId="3" fontId="11" numFmtId="0" xfId="0" applyAlignment="1" applyFont="1">
      <alignment horizontal="right" shrinkToFit="0" vertical="top" wrapText="1"/>
    </xf>
    <xf borderId="0" fillId="0" fontId="7" numFmtId="3" xfId="0" applyAlignment="1" applyFont="1" applyNumberFormat="1">
      <alignment horizontal="right" readingOrder="0" vertical="bottom"/>
    </xf>
    <xf borderId="0" fillId="0" fontId="12" numFmtId="3" xfId="0" applyAlignment="1" applyFont="1" applyNumberFormat="1">
      <alignment horizontal="right" shrinkToFit="0" vertical="top" wrapText="1"/>
    </xf>
    <xf borderId="0" fillId="0" fontId="12" numFmtId="0" xfId="0" applyAlignment="1" applyFont="1">
      <alignment horizontal="right" shrinkToFit="0" vertical="top" wrapText="1"/>
    </xf>
    <xf borderId="0" fillId="0" fontId="7" numFmtId="3" xfId="0" applyAlignment="1" applyFont="1" applyNumberFormat="1">
      <alignment horizontal="right" vertical="bottom"/>
    </xf>
    <xf borderId="0" fillId="0" fontId="7" numFmtId="9" xfId="0" applyAlignment="1" applyFont="1" applyNumberFormat="1">
      <alignment horizontal="right"/>
    </xf>
    <xf borderId="0" fillId="0" fontId="3" numFmtId="3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12" numFmtId="1" xfId="0" applyAlignment="1" applyFont="1" applyNumberFormat="1">
      <alignment horizontal="right" shrinkToFit="0" vertical="top" wrapText="1"/>
    </xf>
    <xf borderId="0" fillId="0" fontId="3" numFmtId="4" xfId="0" applyAlignment="1" applyFont="1" applyNumberFormat="1">
      <alignment vertical="top"/>
    </xf>
    <xf borderId="0" fillId="5" fontId="3" numFmtId="165" xfId="0" applyAlignment="1" applyFont="1" applyNumberFormat="1">
      <alignment vertical="top"/>
    </xf>
    <xf borderId="0" fillId="0" fontId="3" numFmtId="3" xfId="0" applyAlignment="1" applyFont="1" applyNumberFormat="1">
      <alignment vertical="top"/>
    </xf>
    <xf borderId="0" fillId="5" fontId="2" numFmtId="3" xfId="0" applyAlignment="1" applyFont="1" applyNumberFormat="1">
      <alignment horizontal="right" readingOrder="0" shrinkToFit="0" vertical="top" wrapText="1"/>
    </xf>
    <xf borderId="0" fillId="0" fontId="12" numFmtId="10" xfId="0" applyAlignment="1" applyFont="1" applyNumberFormat="1">
      <alignment horizontal="right" shrinkToFit="0" vertical="top" wrapText="1"/>
    </xf>
    <xf borderId="0" fillId="0" fontId="3" numFmtId="3" xfId="0" applyAlignment="1" applyFont="1" applyNumberFormat="1">
      <alignment vertical="bottom"/>
    </xf>
    <xf borderId="0" fillId="3" fontId="13" numFmtId="3" xfId="0" applyAlignment="1" applyFont="1" applyNumberFormat="1">
      <alignment horizontal="right" shrinkToFit="0" vertical="top" wrapText="1"/>
    </xf>
    <xf borderId="0" fillId="5" fontId="12" numFmtId="4" xfId="0" applyAlignment="1" applyFont="1" applyNumberFormat="1">
      <alignment horizontal="right" readingOrder="0" shrinkToFit="0" vertical="top" wrapText="1"/>
    </xf>
    <xf borderId="0" fillId="0" fontId="12" numFmtId="9" xfId="0" applyAlignment="1" applyFont="1" applyNumberFormat="1">
      <alignment horizontal="right" shrinkToFit="0" vertical="top" wrapText="1"/>
    </xf>
    <xf borderId="0" fillId="6" fontId="5" numFmtId="0" xfId="0" applyAlignment="1" applyFont="1">
      <alignment shrinkToFit="0" vertical="top" wrapText="1"/>
    </xf>
    <xf borderId="0" fillId="6" fontId="6" numFmtId="3" xfId="0" applyAlignment="1" applyFont="1" applyNumberFormat="1">
      <alignment horizontal="right" shrinkToFit="0" vertical="top" wrapText="1"/>
    </xf>
    <xf borderId="0" fillId="6" fontId="6" numFmtId="3" xfId="0" applyAlignment="1" applyFont="1" applyNumberFormat="1">
      <alignment horizontal="right" readingOrder="0" shrinkToFit="0" vertical="top" wrapText="1"/>
    </xf>
    <xf borderId="0" fillId="6" fontId="3" numFmtId="0" xfId="0" applyFont="1"/>
    <xf borderId="0" fillId="0" fontId="7" numFmtId="3" xfId="0" applyFont="1" applyNumberFormat="1"/>
    <xf borderId="0" fillId="0" fontId="7" numFmtId="1" xfId="0" applyAlignment="1" applyFont="1" applyNumberFormat="1">
      <alignment vertical="bottom"/>
    </xf>
    <xf borderId="0" fillId="8" fontId="1" numFmtId="0" xfId="0" applyAlignment="1" applyFill="1" applyFont="1">
      <alignment readingOrder="0" shrinkToFit="0" vertical="top" wrapText="0"/>
    </xf>
    <xf borderId="0" fillId="8" fontId="2" numFmtId="3" xfId="0" applyAlignment="1" applyFont="1" applyNumberFormat="1">
      <alignment horizontal="right" shrinkToFit="0" vertical="top" wrapText="1"/>
    </xf>
    <xf borderId="0" fillId="8" fontId="2" numFmtId="0" xfId="0" applyAlignment="1" applyFont="1">
      <alignment horizontal="right" shrinkToFit="0" vertical="top" wrapText="1"/>
    </xf>
    <xf borderId="0" fillId="8" fontId="2" numFmtId="4" xfId="0" applyAlignment="1" applyFont="1" applyNumberFormat="1">
      <alignment horizontal="right" readingOrder="0" shrinkToFit="0" vertical="top" wrapText="1"/>
    </xf>
    <xf borderId="0" fillId="8" fontId="2" numFmtId="4" xfId="0" applyAlignment="1" applyFont="1" applyNumberFormat="1">
      <alignment horizontal="right" shrinkToFit="0" vertical="top" wrapText="1"/>
    </xf>
    <xf borderId="0" fillId="0" fontId="2" numFmtId="0" xfId="0" applyAlignment="1" applyFont="1">
      <alignment readingOrder="0" shrinkToFit="0" vertical="top" wrapText="1"/>
    </xf>
    <xf borderId="0" fillId="0" fontId="2" numFmtId="168" xfId="0" applyAlignment="1" applyFont="1" applyNumberFormat="1">
      <alignment horizontal="right" shrinkToFit="0" vertical="top" wrapText="1"/>
    </xf>
    <xf borderId="0" fillId="0" fontId="14" numFmtId="0" xfId="0" applyAlignment="1" applyFont="1">
      <alignment horizontal="right" shrinkToFit="0" vertical="top" wrapText="1"/>
    </xf>
    <xf borderId="0" fillId="3" fontId="13" numFmtId="165" xfId="0" applyAlignment="1" applyFont="1" applyNumberFormat="1">
      <alignment horizontal="right" shrinkToFit="0" vertical="top" wrapText="1"/>
    </xf>
    <xf borderId="0" fillId="0" fontId="14" numFmtId="4" xfId="0" applyAlignment="1" applyFont="1" applyNumberFormat="1">
      <alignment horizontal="right" shrinkToFit="0" vertical="top" wrapText="1"/>
    </xf>
    <xf borderId="0" fillId="3" fontId="1" numFmtId="0" xfId="0" applyAlignment="1" applyFont="1">
      <alignment readingOrder="0" shrinkToFit="0" vertical="top" wrapText="0"/>
    </xf>
    <xf borderId="0" fillId="0" fontId="3" numFmtId="0" xfId="0" applyAlignment="1" applyFont="1">
      <alignment readingOrder="0" vertical="top"/>
    </xf>
    <xf borderId="0" fillId="0" fontId="12" numFmtId="0" xfId="0" applyAlignment="1" applyFont="1">
      <alignment readingOrder="0" shrinkToFit="0" vertical="top" wrapText="1"/>
    </xf>
    <xf borderId="0" fillId="0" fontId="12" numFmtId="3" xfId="0" applyAlignment="1" applyFont="1" applyNumberFormat="1">
      <alignment horizontal="right" readingOrder="0" shrinkToFit="0" vertical="top" wrapText="1"/>
    </xf>
    <xf borderId="0" fillId="3" fontId="13" numFmtId="168" xfId="0" applyAlignment="1" applyFont="1" applyNumberFormat="1">
      <alignment horizontal="right" shrinkToFit="0" vertical="top" wrapText="1"/>
    </xf>
    <xf borderId="0" fillId="0" fontId="12" numFmtId="166" xfId="0" applyAlignment="1" applyFont="1" applyNumberFormat="1">
      <alignment horizontal="right" shrinkToFit="0" vertical="top" wrapText="1"/>
    </xf>
    <xf borderId="0" fillId="0" fontId="15" numFmtId="0" xfId="0" applyAlignment="1" applyFont="1">
      <alignment horizontal="right" shrinkToFit="0" vertical="top" wrapText="1"/>
    </xf>
    <xf borderId="0" fillId="0" fontId="15" numFmtId="3" xfId="0" applyAlignment="1" applyFont="1" applyNumberFormat="1">
      <alignment horizontal="right" shrinkToFit="0" vertical="top" wrapText="1"/>
    </xf>
    <xf borderId="0" fillId="0" fontId="15" numFmtId="0" xfId="0" applyAlignment="1" applyFont="1">
      <alignment horizontal="right" readingOrder="0" shrinkToFit="0" vertical="top" wrapText="1"/>
    </xf>
    <xf borderId="0" fillId="5" fontId="16" numFmtId="0" xfId="0" applyAlignment="1" applyFont="1">
      <alignment readingOrder="0" shrinkToFit="0" vertical="top" wrapText="1"/>
    </xf>
    <xf borderId="0" fillId="5" fontId="16" numFmtId="169" xfId="0" applyAlignment="1" applyFont="1" applyNumberFormat="1">
      <alignment horizontal="right" readingOrder="0" shrinkToFit="0" vertical="top" wrapText="1"/>
    </xf>
    <xf borderId="0" fillId="3" fontId="16" numFmtId="0" xfId="0" applyAlignment="1" applyFont="1">
      <alignment readingOrder="0" shrinkToFit="0" vertical="top" wrapText="1"/>
    </xf>
    <xf borderId="0" fillId="3" fontId="16" numFmtId="3" xfId="0" applyAlignment="1" applyFont="1" applyNumberFormat="1">
      <alignment horizontal="right" readingOrder="0" shrinkToFit="0" vertical="top" wrapText="1"/>
    </xf>
    <xf borderId="0" fillId="3" fontId="16" numFmtId="3" xfId="0" applyAlignment="1" applyFont="1" applyNumberFormat="1">
      <alignment horizontal="right" shrinkToFit="0" vertical="top" wrapText="1"/>
    </xf>
    <xf borderId="0" fillId="0" fontId="12" numFmtId="9" xfId="0" applyAlignment="1" applyFont="1" applyNumberFormat="1">
      <alignment horizontal="right"/>
    </xf>
    <xf borderId="0" fillId="0" fontId="1" numFmtId="0" xfId="0" applyAlignment="1" applyFont="1">
      <alignment readingOrder="0" shrinkToFit="0" vertical="top" wrapText="0"/>
    </xf>
    <xf borderId="0" fillId="0" fontId="2" numFmtId="4" xfId="0" applyAlignment="1" applyFont="1" applyNumberFormat="1">
      <alignment horizontal="right" readingOrder="0" shrinkToFit="0" vertical="top" wrapText="1"/>
    </xf>
    <xf borderId="0" fillId="8" fontId="2" numFmtId="0" xfId="0" applyAlignment="1" applyFont="1">
      <alignment horizontal="right" readingOrder="0" shrinkToFit="0" vertical="top" wrapText="1"/>
    </xf>
    <xf borderId="0" fillId="5" fontId="16" numFmtId="169" xfId="0" applyAlignment="1" applyFont="1" applyNumberFormat="1">
      <alignment horizontal="right" shrinkToFit="0" vertical="top" wrapText="1"/>
    </xf>
    <xf borderId="0" fillId="0" fontId="12" numFmtId="9" xfId="0" applyFont="1" applyNumberFormat="1"/>
    <xf borderId="0" fillId="3" fontId="2" numFmtId="3" xfId="0" applyAlignment="1" applyFont="1" applyNumberFormat="1">
      <alignment horizontal="right" shrinkToFit="0" vertical="top" wrapText="1"/>
    </xf>
    <xf borderId="0" fillId="3" fontId="3" numFmtId="169" xfId="0" applyAlignment="1" applyFont="1" applyNumberFormat="1">
      <alignment vertical="top"/>
    </xf>
    <xf borderId="0" fillId="3" fontId="12" numFmtId="3" xfId="0" applyAlignment="1" applyFont="1" applyNumberFormat="1">
      <alignment horizontal="right" shrinkToFit="0" vertical="top" wrapText="1"/>
    </xf>
    <xf borderId="0" fillId="0" fontId="3" numFmtId="4" xfId="0" applyAlignment="1" applyFont="1" applyNumberFormat="1">
      <alignment readingOrder="0" vertical="top"/>
    </xf>
    <xf borderId="0" fillId="3" fontId="12" numFmtId="9" xfId="0" applyAlignment="1" applyFont="1" applyNumberFormat="1">
      <alignment horizontal="right" shrinkToFit="0" vertical="top" wrapText="1"/>
    </xf>
    <xf borderId="0" fillId="0" fontId="12" numFmtId="0" xfId="0" applyAlignment="1" applyFont="1">
      <alignment horizontal="right" readingOrder="0" shrinkToFit="0" vertical="top" wrapText="1"/>
    </xf>
    <xf borderId="0" fillId="0" fontId="3" numFmtId="9" xfId="0" applyFont="1" applyNumberFormat="1"/>
    <xf borderId="0" fillId="0" fontId="3" numFmtId="2" xfId="0" applyFont="1" applyNumberFormat="1"/>
    <xf borderId="0" fillId="0" fontId="3" numFmtId="0" xfId="0" applyFont="1"/>
    <xf borderId="0" fillId="0" fontId="17" numFmtId="3" xfId="0" applyAlignment="1" applyFont="1" applyNumberFormat="1">
      <alignment horizontal="right" readingOrder="0" vertical="bottom"/>
    </xf>
    <xf borderId="0" fillId="0" fontId="17" numFmtId="3" xfId="0" applyAlignment="1" applyFont="1" applyNumberFormat="1">
      <alignment horizontal="right" vertical="bottom"/>
    </xf>
    <xf borderId="0" fillId="0" fontId="3" numFmtId="3" xfId="0" applyAlignment="1" applyFont="1" applyNumberFormat="1">
      <alignment readingOrder="0" vertical="bottom"/>
    </xf>
    <xf borderId="0" fillId="0" fontId="17" numFmtId="2" xfId="0" applyAlignment="1" applyFont="1" applyNumberFormat="1">
      <alignment horizontal="right" readingOrder="0" vertical="bottom"/>
    </xf>
    <xf borderId="0" fillId="0" fontId="3" numFmtId="2" xfId="0" applyAlignment="1" applyFont="1" applyNumberFormat="1">
      <alignment readingOrder="0" vertical="bottom"/>
    </xf>
    <xf borderId="0" fillId="0" fontId="17" numFmtId="2" xfId="0" applyAlignment="1" applyFont="1" applyNumberFormat="1">
      <alignment horizontal="right" vertical="bottom"/>
    </xf>
    <xf borderId="0" fillId="0" fontId="3" numFmtId="2" xfId="0" applyAlignment="1" applyFont="1" applyNumberFormat="1">
      <alignment vertical="bottom"/>
    </xf>
    <xf borderId="0" fillId="0" fontId="3" numFmtId="1" xfId="0" applyAlignment="1" applyFont="1" applyNumberFormat="1">
      <alignment readingOrder="0" vertical="bottom"/>
    </xf>
    <xf borderId="0" fillId="0" fontId="3" numFmtId="1" xfId="0" applyAlignment="1" applyFont="1" applyNumberFormat="1">
      <alignment vertical="bottom"/>
    </xf>
    <xf borderId="0" fillId="0" fontId="17" numFmtId="3" xfId="0" applyAlignment="1" applyFont="1" applyNumberFormat="1">
      <alignment horizontal="right" readingOrder="0" shrinkToFit="0" vertical="bottom" wrapText="1"/>
    </xf>
    <xf borderId="0" fillId="0" fontId="17" numFmtId="3" xfId="0" applyAlignment="1" applyFont="1" applyNumberFormat="1">
      <alignment horizontal="right" shrinkToFit="0" vertical="bottom" wrapText="1"/>
    </xf>
    <xf borderId="0" fillId="2" fontId="2" numFmtId="3" xfId="0" applyAlignment="1" applyFont="1" applyNumberFormat="1">
      <alignment horizontal="center" readingOrder="0" shrinkToFit="0" vertical="top" wrapText="1"/>
    </xf>
    <xf borderId="0" fillId="2" fontId="2" numFmtId="3" xfId="0" applyAlignment="1" applyFont="1" applyNumberFormat="1">
      <alignment horizontal="right" readingOrder="0" shrinkToFit="0" vertical="top" wrapText="1"/>
    </xf>
    <xf borderId="0" fillId="0" fontId="3" numFmtId="4" xfId="0" applyAlignment="1" applyFont="1" applyNumberFormat="1">
      <alignment horizontal="right" readingOrder="0"/>
    </xf>
    <xf borderId="0" fillId="0" fontId="3" numFmtId="4" xfId="0" applyAlignment="1" applyFont="1" applyNumberFormat="1">
      <alignment horizontal="left" readingOrder="0"/>
    </xf>
    <xf borderId="0" fillId="0" fontId="3" numFmtId="4" xfId="0" applyAlignment="1" applyFont="1" applyNumberFormat="1">
      <alignment readingOrder="0"/>
    </xf>
    <xf borderId="0" fillId="0" fontId="3" numFmtId="0" xfId="0" applyAlignment="1" applyFont="1">
      <alignment horizontal="left"/>
    </xf>
    <xf borderId="0" fillId="2" fontId="4" numFmtId="0" xfId="0" applyAlignment="1" applyFont="1">
      <alignment horizontal="center" readingOrder="0"/>
    </xf>
    <xf borderId="0" fillId="0" fontId="3" numFmtId="0" xfId="0" applyAlignment="1" applyFont="1">
      <alignment horizontal="right" readingOrder="0"/>
    </xf>
    <xf borderId="0" fillId="0" fontId="3" numFmtId="4" xfId="0" applyAlignment="1" applyFont="1" applyNumberFormat="1">
      <alignment horizontal="left"/>
    </xf>
    <xf borderId="0" fillId="0" fontId="3" numFmtId="0" xfId="0" applyAlignment="1" applyFont="1">
      <alignment horizontal="left" readingOrder="0"/>
    </xf>
    <xf borderId="0" fillId="2" fontId="2" numFmtId="4" xfId="0" applyAlignment="1" applyFont="1" applyNumberFormat="1">
      <alignment shrinkToFit="0" vertical="top" wrapText="1"/>
    </xf>
    <xf borderId="0" fillId="0" fontId="2" numFmtId="9" xfId="0" applyAlignment="1" applyFont="1" applyNumberFormat="1">
      <alignment shrinkToFit="0" vertical="top" wrapText="1"/>
    </xf>
    <xf borderId="0" fillId="9" fontId="2" numFmtId="3" xfId="0" applyAlignment="1" applyFill="1" applyFont="1" applyNumberFormat="1">
      <alignment horizontal="right" shrinkToFit="0" vertical="top" wrapText="1"/>
    </xf>
    <xf borderId="0" fillId="3" fontId="2" numFmtId="9" xfId="0" applyAlignment="1" applyFont="1" applyNumberFormat="1">
      <alignment horizontal="right" shrinkToFit="0" vertical="top" wrapText="1"/>
    </xf>
    <xf borderId="0" fillId="3" fontId="2" numFmtId="1" xfId="0" applyAlignment="1" applyFont="1" applyNumberFormat="1">
      <alignment horizontal="right" shrinkToFit="0" vertical="top" wrapText="1"/>
    </xf>
    <xf borderId="0" fillId="3" fontId="3" numFmtId="14" xfId="0" applyAlignment="1" applyFont="1" applyNumberFormat="1">
      <alignment vertical="top"/>
    </xf>
    <xf borderId="0" fillId="10" fontId="2" numFmtId="3" xfId="0" applyAlignment="1" applyFill="1" applyFont="1" applyNumberFormat="1">
      <alignment horizontal="right" shrinkToFit="0" vertical="top" wrapText="1"/>
    </xf>
    <xf borderId="0" fillId="3" fontId="3" numFmtId="9" xfId="0" applyAlignment="1" applyFont="1" applyNumberFormat="1">
      <alignment horizontal="right" vertical="top"/>
    </xf>
    <xf borderId="0" fillId="3" fontId="7" numFmtId="3" xfId="0" applyAlignment="1" applyFont="1" applyNumberFormat="1">
      <alignment horizontal="right" vertical="top"/>
    </xf>
    <xf borderId="0" fillId="3" fontId="3" numFmtId="164" xfId="0" applyAlignment="1" applyFont="1" applyNumberFormat="1">
      <alignment vertical="top"/>
    </xf>
    <xf borderId="0" fillId="3" fontId="2" numFmtId="10" xfId="0" applyAlignment="1" applyFont="1" applyNumberFormat="1">
      <alignment horizontal="right" shrinkToFit="0" vertical="top" wrapText="1"/>
    </xf>
    <xf borderId="0" fillId="0" fontId="3" numFmtId="0" xfId="0" applyAlignment="1" applyFont="1">
      <alignment vertical="bottom"/>
    </xf>
    <xf borderId="0" fillId="3" fontId="3" numFmtId="9" xfId="0" applyAlignment="1" applyFont="1" applyNumberFormat="1">
      <alignment vertical="top"/>
    </xf>
    <xf borderId="0" fillId="3" fontId="3" numFmtId="0" xfId="0" applyAlignment="1" applyFont="1">
      <alignment vertical="bottom"/>
    </xf>
    <xf borderId="0" fillId="3" fontId="18" numFmtId="4" xfId="0" applyAlignment="1" applyFont="1" applyNumberFormat="1">
      <alignment readingOrder="0" shrinkToFit="0" vertical="top" wrapText="1"/>
    </xf>
    <xf borderId="0" fillId="0" fontId="3" numFmtId="9" xfId="0" applyAlignment="1" applyFont="1" applyNumberFormat="1">
      <alignment vertical="bottom"/>
    </xf>
    <xf borderId="0" fillId="0" fontId="3" numFmtId="0" xfId="0" applyAlignment="1" applyFont="1">
      <alignment readingOrder="0" vertical="bottom"/>
    </xf>
    <xf borderId="0" fillId="3" fontId="18" numFmtId="4" xfId="0" applyAlignment="1" applyFont="1" applyNumberFormat="1">
      <alignment shrinkToFit="0" vertical="top" wrapText="1"/>
    </xf>
    <xf borderId="0" fillId="5" fontId="2" numFmtId="9" xfId="0" applyAlignment="1" applyFont="1" applyNumberFormat="1">
      <alignment horizontal="right" shrinkToFit="0" vertical="top" wrapText="1"/>
    </xf>
    <xf borderId="0" fillId="3" fontId="2" numFmtId="3" xfId="0" applyAlignment="1" applyFont="1" applyNumberFormat="1">
      <alignment horizontal="right" vertical="bottom"/>
    </xf>
    <xf borderId="0" fillId="3" fontId="2" numFmtId="166" xfId="0" applyAlignment="1" applyFont="1" applyNumberFormat="1">
      <alignment horizontal="right" shrinkToFit="0" vertical="top" wrapText="1"/>
    </xf>
    <xf borderId="0" fillId="3" fontId="7" numFmtId="0" xfId="0" applyAlignment="1" applyFont="1">
      <alignment horizontal="right" vertical="top"/>
    </xf>
    <xf borderId="0" fillId="3" fontId="7" numFmtId="3" xfId="0" applyAlignment="1" applyFont="1" applyNumberFormat="1">
      <alignment horizontal="center" vertical="top"/>
    </xf>
    <xf borderId="0" fillId="3" fontId="3" numFmtId="167" xfId="0" applyAlignment="1" applyFont="1" applyNumberFormat="1">
      <alignment vertical="top"/>
    </xf>
  </cellXfs>
  <cellStyles count="1">
    <cellStyle xfId="0" name="Normal" builtinId="0"/>
  </cellStyles>
  <dxfs count="5">
    <dxf>
      <font/>
      <fill>
        <patternFill patternType="solid">
          <fgColor rgb="FFDD7E6B"/>
          <bgColor rgb="FFDD7E6B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>
        <color rgb="FF000000"/>
      </font>
      <fill>
        <patternFill patternType="solid">
          <fgColor rgb="FFDD7E6B"/>
          <bgColor rgb="FFDD7E6B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0.57"/>
    <col customWidth="1" min="6" max="6" width="12.43"/>
  </cols>
  <sheetData>
    <row r="1" ht="33.0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>
      <c r="A2" s="7" t="s">
        <v>12</v>
      </c>
      <c r="B2" s="8">
        <v>170.0</v>
      </c>
      <c r="C2" s="9">
        <f>C8+C18+C28</f>
        <v>41</v>
      </c>
      <c r="D2" s="10">
        <f t="shared" ref="D2:D4" si="2">C2/B2</f>
        <v>0.2411764706</v>
      </c>
      <c r="E2" s="9">
        <f>B2-C2</f>
        <v>129</v>
      </c>
      <c r="F2" s="9">
        <f>C2/AJ2*AK2</f>
        <v>181.5714286</v>
      </c>
      <c r="G2" s="10">
        <f t="shared" ref="G2:G4" si="3">F2/B2</f>
        <v>1.068067227</v>
      </c>
      <c r="H2" s="9">
        <f>F2-B2</f>
        <v>11.57142857</v>
      </c>
      <c r="I2" s="11">
        <f>E2/(AK2-AJ2)</f>
        <v>5.375</v>
      </c>
      <c r="J2" s="12">
        <f>B2/AK2</f>
        <v>5.483870968</v>
      </c>
      <c r="K2" s="12">
        <f>C2/AJ2</f>
        <v>5.857142857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4">
        <f>AK3</f>
        <v>7</v>
      </c>
      <c r="AK2" s="14" t="str">
        <f>AM2</f>
        <v>31</v>
      </c>
      <c r="AL2" s="15">
        <f>DATE(YEAR(TODAY()),MONTH(TODAY())+1,1)-1</f>
        <v>44561</v>
      </c>
      <c r="AM2" s="14" t="str">
        <f>LEFT(AL2, 2)</f>
        <v>31</v>
      </c>
    </row>
    <row r="3">
      <c r="A3" s="7" t="s">
        <v>13</v>
      </c>
      <c r="B3" s="9">
        <f t="shared" ref="B3:C3" si="1">B4/B2</f>
        <v>3938.823529</v>
      </c>
      <c r="C3" s="9">
        <f t="shared" si="1"/>
        <v>3189.674452</v>
      </c>
      <c r="D3" s="10">
        <f t="shared" si="2"/>
        <v>0.8098038483</v>
      </c>
      <c r="E3" s="16"/>
      <c r="F3" s="8">
        <f>F4/F2</f>
        <v>3189.674452</v>
      </c>
      <c r="G3" s="10">
        <f t="shared" si="3"/>
        <v>0.8098038483</v>
      </c>
      <c r="H3" s="16"/>
      <c r="I3" s="16"/>
      <c r="J3" s="13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7">
        <f>TODAY()</f>
        <v>44538</v>
      </c>
      <c r="AK3" s="14">
        <f>LEFT(AJ3, 2)-1</f>
        <v>7</v>
      </c>
      <c r="AL3" s="18"/>
      <c r="AM3" s="18"/>
    </row>
    <row r="4">
      <c r="A4" s="7" t="s">
        <v>14</v>
      </c>
      <c r="B4" s="8">
        <v>669600.0</v>
      </c>
      <c r="C4" s="9">
        <f>C10+C20+C30</f>
        <v>130776.6525</v>
      </c>
      <c r="D4" s="10">
        <f t="shared" si="2"/>
        <v>0.195305634</v>
      </c>
      <c r="E4" s="9">
        <f>B4-C4</f>
        <v>538823.3475</v>
      </c>
      <c r="F4" s="9">
        <f>C4/AJ2*AK2</f>
        <v>579153.7469</v>
      </c>
      <c r="G4" s="10">
        <f t="shared" si="3"/>
        <v>0.8649249505</v>
      </c>
      <c r="H4" s="9">
        <f>F4-B4</f>
        <v>-90446.25313</v>
      </c>
      <c r="I4" s="19">
        <f>E4/(AK2-AJ2)</f>
        <v>22450.97281</v>
      </c>
      <c r="J4" s="12">
        <f>B4/AK2</f>
        <v>21600</v>
      </c>
      <c r="K4" s="12">
        <f>C4/AJ2</f>
        <v>18682.37893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20"/>
      <c r="AK4" s="20"/>
      <c r="AL4" s="20"/>
      <c r="AM4" s="20"/>
    </row>
    <row r="5">
      <c r="A5" s="21"/>
      <c r="B5" s="22"/>
      <c r="C5" s="23"/>
      <c r="D5" s="23"/>
      <c r="E5" s="23"/>
      <c r="F5" s="23"/>
      <c r="G5" s="23"/>
      <c r="H5" s="23"/>
      <c r="I5" s="23"/>
      <c r="J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0"/>
      <c r="AK5" s="20"/>
      <c r="AL5" s="20"/>
      <c r="AM5" s="20"/>
    </row>
    <row r="6">
      <c r="A6" s="25" t="s">
        <v>15</v>
      </c>
      <c r="B6" s="22"/>
      <c r="C6" s="23"/>
      <c r="D6" s="23"/>
      <c r="E6" s="23"/>
      <c r="F6" s="23"/>
      <c r="G6" s="23"/>
      <c r="H6" s="23"/>
      <c r="I6" s="23"/>
      <c r="J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0"/>
      <c r="AK6" s="20"/>
      <c r="AL6" s="20"/>
      <c r="AM6" s="20"/>
    </row>
    <row r="7">
      <c r="A7" s="26" t="s">
        <v>16</v>
      </c>
      <c r="B7" s="27" t="s">
        <v>1</v>
      </c>
      <c r="C7" s="28" t="s">
        <v>2</v>
      </c>
      <c r="D7" s="28" t="s">
        <v>3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8" t="s">
        <v>9</v>
      </c>
      <c r="K7" s="29" t="s">
        <v>10</v>
      </c>
      <c r="L7" s="29" t="s">
        <v>17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20"/>
      <c r="AK7" s="20"/>
      <c r="AL7" s="20"/>
      <c r="AM7" s="20"/>
    </row>
    <row r="8">
      <c r="A8" s="7" t="s">
        <v>12</v>
      </c>
      <c r="B8" s="8">
        <v>70.0</v>
      </c>
      <c r="C8" s="9">
        <f>SUM(B14:AF14)</f>
        <v>17</v>
      </c>
      <c r="D8" s="10">
        <f t="shared" ref="D8:D10" si="5">C8/B8</f>
        <v>0.2428571429</v>
      </c>
      <c r="E8" s="19">
        <f>B8-C8</f>
        <v>53</v>
      </c>
      <c r="F8" s="9">
        <f>C8/AJ8*AK8</f>
        <v>75.28571429</v>
      </c>
      <c r="G8" s="10">
        <f t="shared" ref="G8:G10" si="6">F8/B8</f>
        <v>1.075510204</v>
      </c>
      <c r="H8" s="9">
        <f>F8-B8</f>
        <v>5.285714286</v>
      </c>
      <c r="I8" s="19">
        <f>E8/(AK8-AJ8)</f>
        <v>2.208333333</v>
      </c>
      <c r="J8" s="12">
        <f>B8/AK8</f>
        <v>2.258064516</v>
      </c>
      <c r="K8" s="12">
        <f>C8/AJ2</f>
        <v>2.428571429</v>
      </c>
      <c r="L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4">
        <f>AK9</f>
        <v>7</v>
      </c>
      <c r="AK8" s="14" t="str">
        <f>AM8</f>
        <v>31</v>
      </c>
      <c r="AL8" s="15">
        <f>DATE(YEAR(TODAY()),MONTH(TODAY())+1,1)-1</f>
        <v>44561</v>
      </c>
      <c r="AM8" s="14" t="str">
        <f>LEFT(AL8, 2)</f>
        <v>31</v>
      </c>
    </row>
    <row r="9">
      <c r="A9" s="7" t="s">
        <v>18</v>
      </c>
      <c r="B9" s="8">
        <f t="shared" ref="B9:C9" si="4">B10/B8</f>
        <v>4350</v>
      </c>
      <c r="C9" s="9">
        <f t="shared" si="4"/>
        <v>3853.064974</v>
      </c>
      <c r="D9" s="10">
        <f t="shared" si="5"/>
        <v>0.885762063</v>
      </c>
      <c r="E9" s="13"/>
      <c r="F9" s="9">
        <f>F10/F8</f>
        <v>3853.064974</v>
      </c>
      <c r="G9" s="10">
        <f t="shared" si="6"/>
        <v>0.885762063</v>
      </c>
      <c r="H9" s="13"/>
      <c r="I9" s="9"/>
      <c r="J9" s="13"/>
      <c r="K9" s="12"/>
      <c r="L9" s="13"/>
      <c r="N9" s="13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17">
        <f>TODAY()</f>
        <v>44538</v>
      </c>
      <c r="AK9" s="14">
        <f>LEFT(AJ9, 2)-1</f>
        <v>7</v>
      </c>
      <c r="AL9" s="18"/>
      <c r="AM9" s="18"/>
    </row>
    <row r="10">
      <c r="A10" s="7" t="s">
        <v>14</v>
      </c>
      <c r="B10" s="8">
        <v>304500.0</v>
      </c>
      <c r="C10" s="9">
        <f>SUM(B13:AF13)</f>
        <v>65502.10456</v>
      </c>
      <c r="D10" s="10">
        <f t="shared" si="5"/>
        <v>0.2151136439</v>
      </c>
      <c r="E10" s="9">
        <f>B10-C10</f>
        <v>238997.8954</v>
      </c>
      <c r="F10" s="9">
        <f>C10/AJ8*AK8</f>
        <v>290080.7488</v>
      </c>
      <c r="G10" s="10">
        <f t="shared" si="6"/>
        <v>0.9526461372</v>
      </c>
      <c r="H10" s="9">
        <f>F10-B10</f>
        <v>-14419.25123</v>
      </c>
      <c r="I10" s="9">
        <f>E10/(AK8-AJ8)</f>
        <v>9958.245643</v>
      </c>
      <c r="J10" s="19">
        <f>B10/AK8</f>
        <v>9822.580645</v>
      </c>
      <c r="K10" s="12">
        <f>C10/AJ2</f>
        <v>9357.443509</v>
      </c>
      <c r="L10" s="32">
        <f>(I10+I20)/1.2/1.004</f>
        <v>11768.87365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20"/>
      <c r="AK10" s="20"/>
      <c r="AL10" s="20"/>
      <c r="AM10" s="20"/>
    </row>
    <row r="11">
      <c r="A11" s="33" t="s">
        <v>19</v>
      </c>
      <c r="B11" s="34" t="s">
        <v>20</v>
      </c>
      <c r="C11" s="34" t="s">
        <v>21</v>
      </c>
      <c r="D11" s="34" t="s">
        <v>22</v>
      </c>
      <c r="E11" s="34" t="s">
        <v>23</v>
      </c>
      <c r="F11" s="34" t="s">
        <v>24</v>
      </c>
      <c r="G11" s="34" t="s">
        <v>25</v>
      </c>
      <c r="H11" s="34" t="s">
        <v>26</v>
      </c>
      <c r="I11" s="34" t="s">
        <v>20</v>
      </c>
      <c r="J11" s="34" t="s">
        <v>21</v>
      </c>
      <c r="K11" s="34" t="s">
        <v>22</v>
      </c>
      <c r="L11" s="34" t="s">
        <v>23</v>
      </c>
      <c r="M11" s="34" t="s">
        <v>24</v>
      </c>
      <c r="N11" s="34" t="s">
        <v>25</v>
      </c>
      <c r="O11" s="34" t="s">
        <v>26</v>
      </c>
      <c r="P11" s="34" t="s">
        <v>20</v>
      </c>
      <c r="Q11" s="34" t="s">
        <v>21</v>
      </c>
      <c r="R11" s="34" t="s">
        <v>22</v>
      </c>
      <c r="S11" s="34" t="s">
        <v>23</v>
      </c>
      <c r="T11" s="34" t="s">
        <v>24</v>
      </c>
      <c r="U11" s="34" t="s">
        <v>25</v>
      </c>
      <c r="V11" s="34" t="s">
        <v>26</v>
      </c>
      <c r="W11" s="34" t="s">
        <v>20</v>
      </c>
      <c r="X11" s="34" t="s">
        <v>21</v>
      </c>
      <c r="Y11" s="34" t="s">
        <v>22</v>
      </c>
      <c r="Z11" s="34" t="s">
        <v>23</v>
      </c>
      <c r="AA11" s="34" t="s">
        <v>24</v>
      </c>
      <c r="AB11" s="34" t="s">
        <v>25</v>
      </c>
      <c r="AC11" s="34" t="s">
        <v>26</v>
      </c>
      <c r="AD11" s="34" t="s">
        <v>20</v>
      </c>
      <c r="AE11" s="34" t="s">
        <v>21</v>
      </c>
      <c r="AF11" s="34" t="s">
        <v>22</v>
      </c>
      <c r="AG11" s="30"/>
      <c r="AH11" s="30"/>
      <c r="AI11" s="30"/>
      <c r="AJ11" s="20"/>
      <c r="AK11" s="20"/>
      <c r="AL11" s="20"/>
      <c r="AM11" s="20"/>
    </row>
    <row r="12">
      <c r="A12" s="35" t="s">
        <v>27</v>
      </c>
      <c r="B12" s="36">
        <v>44531.0</v>
      </c>
      <c r="C12" s="36">
        <v>44532.0</v>
      </c>
      <c r="D12" s="36">
        <v>44533.0</v>
      </c>
      <c r="E12" s="36">
        <v>44534.0</v>
      </c>
      <c r="F12" s="36">
        <v>44535.0</v>
      </c>
      <c r="G12" s="36">
        <v>44536.0</v>
      </c>
      <c r="H12" s="36">
        <v>44537.0</v>
      </c>
      <c r="I12" s="36">
        <v>44538.0</v>
      </c>
      <c r="J12" s="36">
        <v>44539.0</v>
      </c>
      <c r="K12" s="36">
        <v>44540.0</v>
      </c>
      <c r="L12" s="36">
        <v>44541.0</v>
      </c>
      <c r="M12" s="36">
        <v>44542.0</v>
      </c>
      <c r="N12" s="36">
        <v>44543.0</v>
      </c>
      <c r="O12" s="36">
        <v>44544.0</v>
      </c>
      <c r="P12" s="36">
        <v>44545.0</v>
      </c>
      <c r="Q12" s="36">
        <v>44546.0</v>
      </c>
      <c r="R12" s="36">
        <v>44547.0</v>
      </c>
      <c r="S12" s="36">
        <v>44548.0</v>
      </c>
      <c r="T12" s="36">
        <v>44549.0</v>
      </c>
      <c r="U12" s="36">
        <v>44550.0</v>
      </c>
      <c r="V12" s="36">
        <v>44551.0</v>
      </c>
      <c r="W12" s="36">
        <v>44552.0</v>
      </c>
      <c r="X12" s="36">
        <v>44553.0</v>
      </c>
      <c r="Y12" s="36">
        <v>44554.0</v>
      </c>
      <c r="Z12" s="36">
        <v>44555.0</v>
      </c>
      <c r="AA12" s="36">
        <v>44556.0</v>
      </c>
      <c r="AB12" s="36">
        <v>44557.0</v>
      </c>
      <c r="AC12" s="36">
        <v>44558.0</v>
      </c>
      <c r="AD12" s="36">
        <v>44559.0</v>
      </c>
      <c r="AE12" s="36">
        <v>44560.0</v>
      </c>
      <c r="AF12" s="36">
        <v>44561.0</v>
      </c>
      <c r="AG12" s="37"/>
      <c r="AH12" s="37"/>
      <c r="AI12" s="37"/>
      <c r="AJ12" s="18"/>
      <c r="AK12" s="18"/>
      <c r="AL12" s="18"/>
      <c r="AM12" s="18"/>
    </row>
    <row r="13">
      <c r="A13" s="35" t="s">
        <v>28</v>
      </c>
      <c r="B13" s="38">
        <f>1.004*8546.95</f>
        <v>8581.1378</v>
      </c>
      <c r="C13" s="38">
        <f>1.004*9109.42
</f>
        <v>9145.85768</v>
      </c>
      <c r="D13" s="38">
        <f>1.004*11051.18</f>
        <v>11095.38472</v>
      </c>
      <c r="E13" s="38">
        <f>1.004*8805.32
</f>
        <v>8840.54128</v>
      </c>
      <c r="F13" s="38">
        <f>1.004*7077.47
</f>
        <v>7105.77988</v>
      </c>
      <c r="G13" s="38">
        <f>1.004*8302.02
</f>
        <v>8335.22808</v>
      </c>
      <c r="H13" s="38">
        <f>1.004*12348.78</f>
        <v>12398.17512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9"/>
      <c r="W13" s="38"/>
      <c r="X13" s="39"/>
      <c r="Y13" s="39"/>
      <c r="Z13" s="38"/>
      <c r="AA13" s="39"/>
      <c r="AB13" s="39"/>
      <c r="AC13" s="39"/>
      <c r="AD13" s="39"/>
      <c r="AE13" s="39"/>
      <c r="AF13" s="39"/>
      <c r="AG13" s="23"/>
      <c r="AH13" s="23"/>
      <c r="AI13" s="23"/>
      <c r="AJ13" s="40"/>
      <c r="AK13" s="40"/>
      <c r="AL13" s="40"/>
      <c r="AM13" s="40"/>
    </row>
    <row r="14">
      <c r="A14" s="35" t="s">
        <v>29</v>
      </c>
      <c r="B14" s="38">
        <v>1.0</v>
      </c>
      <c r="C14" s="38">
        <v>4.0</v>
      </c>
      <c r="D14" s="38">
        <v>4.0</v>
      </c>
      <c r="E14" s="38">
        <v>0.0</v>
      </c>
      <c r="F14" s="38">
        <v>3.0</v>
      </c>
      <c r="G14" s="38">
        <v>3.0</v>
      </c>
      <c r="H14" s="38">
        <v>2.0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1"/>
      <c r="T14" s="41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23"/>
      <c r="AH14" s="23"/>
      <c r="AI14" s="23"/>
      <c r="AJ14" s="40"/>
      <c r="AK14" s="40"/>
      <c r="AL14" s="40"/>
      <c r="AM14" s="40"/>
    </row>
    <row r="15">
      <c r="A15" s="35" t="s">
        <v>30</v>
      </c>
      <c r="B15" s="39">
        <f t="shared" ref="B15:AE15" si="7">B13/B14</f>
        <v>8581.1378</v>
      </c>
      <c r="C15" s="39">
        <f t="shared" si="7"/>
        <v>2286.46442</v>
      </c>
      <c r="D15" s="39">
        <f t="shared" si="7"/>
        <v>2773.84618</v>
      </c>
      <c r="E15" s="39" t="str">
        <f t="shared" si="7"/>
        <v>#DIV/0!</v>
      </c>
      <c r="F15" s="39">
        <f t="shared" si="7"/>
        <v>2368.593293</v>
      </c>
      <c r="G15" s="39">
        <f t="shared" si="7"/>
        <v>2778.40936</v>
      </c>
      <c r="H15" s="39">
        <f t="shared" si="7"/>
        <v>6199.08756</v>
      </c>
      <c r="I15" s="39" t="str">
        <f t="shared" si="7"/>
        <v>#DIV/0!</v>
      </c>
      <c r="J15" s="39" t="str">
        <f t="shared" si="7"/>
        <v>#DIV/0!</v>
      </c>
      <c r="K15" s="39" t="str">
        <f t="shared" si="7"/>
        <v>#DIV/0!</v>
      </c>
      <c r="L15" s="39" t="str">
        <f t="shared" si="7"/>
        <v>#DIV/0!</v>
      </c>
      <c r="M15" s="39" t="str">
        <f t="shared" si="7"/>
        <v>#DIV/0!</v>
      </c>
      <c r="N15" s="39" t="str">
        <f t="shared" si="7"/>
        <v>#DIV/0!</v>
      </c>
      <c r="O15" s="39" t="str">
        <f t="shared" si="7"/>
        <v>#DIV/0!</v>
      </c>
      <c r="P15" s="39" t="str">
        <f t="shared" si="7"/>
        <v>#DIV/0!</v>
      </c>
      <c r="Q15" s="39" t="str">
        <f t="shared" si="7"/>
        <v>#DIV/0!</v>
      </c>
      <c r="R15" s="39" t="str">
        <f t="shared" si="7"/>
        <v>#DIV/0!</v>
      </c>
      <c r="S15" s="39" t="str">
        <f t="shared" si="7"/>
        <v>#DIV/0!</v>
      </c>
      <c r="T15" s="39" t="str">
        <f t="shared" si="7"/>
        <v>#DIV/0!</v>
      </c>
      <c r="U15" s="39" t="str">
        <f t="shared" si="7"/>
        <v>#DIV/0!</v>
      </c>
      <c r="V15" s="39" t="str">
        <f t="shared" si="7"/>
        <v>#DIV/0!</v>
      </c>
      <c r="W15" s="39" t="str">
        <f t="shared" si="7"/>
        <v>#DIV/0!</v>
      </c>
      <c r="X15" s="39" t="str">
        <f t="shared" si="7"/>
        <v>#DIV/0!</v>
      </c>
      <c r="Y15" s="39" t="str">
        <f t="shared" si="7"/>
        <v>#DIV/0!</v>
      </c>
      <c r="Z15" s="39" t="str">
        <f t="shared" si="7"/>
        <v>#DIV/0!</v>
      </c>
      <c r="AA15" s="39" t="str">
        <f t="shared" si="7"/>
        <v>#DIV/0!</v>
      </c>
      <c r="AB15" s="39" t="str">
        <f t="shared" si="7"/>
        <v>#DIV/0!</v>
      </c>
      <c r="AC15" s="39" t="str">
        <f t="shared" si="7"/>
        <v>#DIV/0!</v>
      </c>
      <c r="AD15" s="39" t="str">
        <f t="shared" si="7"/>
        <v>#DIV/0!</v>
      </c>
      <c r="AE15" s="39" t="str">
        <f t="shared" si="7"/>
        <v>#DIV/0!</v>
      </c>
      <c r="AF15" s="39"/>
      <c r="AG15" s="23"/>
      <c r="AH15" s="23"/>
      <c r="AI15" s="23"/>
      <c r="AJ15" s="40"/>
      <c r="AK15" s="40"/>
      <c r="AL15" s="40"/>
      <c r="AM15" s="40"/>
    </row>
    <row r="16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20"/>
      <c r="AK16" s="20"/>
      <c r="AL16" s="20"/>
      <c r="AM16" s="20"/>
    </row>
    <row r="17">
      <c r="A17" s="26" t="s">
        <v>31</v>
      </c>
      <c r="B17" s="27" t="s">
        <v>1</v>
      </c>
      <c r="C17" s="28" t="s">
        <v>2</v>
      </c>
      <c r="D17" s="28" t="s">
        <v>3</v>
      </c>
      <c r="E17" s="28" t="s">
        <v>4</v>
      </c>
      <c r="F17" s="29" t="s">
        <v>5</v>
      </c>
      <c r="G17" s="29" t="s">
        <v>6</v>
      </c>
      <c r="H17" s="28" t="s">
        <v>7</v>
      </c>
      <c r="I17" s="28" t="s">
        <v>8</v>
      </c>
      <c r="J17" s="28" t="s">
        <v>9</v>
      </c>
      <c r="K17" s="28" t="s">
        <v>10</v>
      </c>
      <c r="L17" s="28" t="s">
        <v>11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0"/>
      <c r="AK17" s="20"/>
      <c r="AL17" s="20"/>
      <c r="AM17" s="20"/>
    </row>
    <row r="18">
      <c r="A18" s="7" t="s">
        <v>12</v>
      </c>
      <c r="B18" s="8">
        <v>40.0</v>
      </c>
      <c r="C18" s="9">
        <f>SUM(B24:AF24)</f>
        <v>7</v>
      </c>
      <c r="D18" s="10">
        <f t="shared" ref="D18:D20" si="9">C18/B18</f>
        <v>0.175</v>
      </c>
      <c r="E18" s="19">
        <f>B18-C18</f>
        <v>33</v>
      </c>
      <c r="F18" s="9">
        <f>C18/AJ18*AK18</f>
        <v>31</v>
      </c>
      <c r="G18" s="45">
        <f t="shared" ref="G18:G20" si="10">F18/B18</f>
        <v>0.775</v>
      </c>
      <c r="H18" s="9">
        <f>F18-B18</f>
        <v>-9</v>
      </c>
      <c r="I18" s="19">
        <f>E18/(AK18-AJ18)</f>
        <v>1.375</v>
      </c>
      <c r="J18" s="12">
        <f>B18/AK18</f>
        <v>1.290322581</v>
      </c>
      <c r="K18" s="46">
        <f>C18/AJ2</f>
        <v>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4">
        <f>AK19</f>
        <v>7</v>
      </c>
      <c r="AK18" s="14" t="str">
        <f>AM18</f>
        <v>31</v>
      </c>
      <c r="AL18" s="15">
        <f>DATE(YEAR(TODAY()),MONTH(TODAY())+1,1)-1</f>
        <v>44561</v>
      </c>
      <c r="AM18" s="14" t="str">
        <f>LEFT(AL18, 2)</f>
        <v>31</v>
      </c>
    </row>
    <row r="19">
      <c r="A19" s="7" t="s">
        <v>13</v>
      </c>
      <c r="B19" s="8">
        <f t="shared" ref="B19:C19" si="8">B20/B18</f>
        <v>2900</v>
      </c>
      <c r="C19" s="9">
        <f t="shared" si="8"/>
        <v>2099.794286</v>
      </c>
      <c r="D19" s="10">
        <f t="shared" si="9"/>
        <v>0.7240669951</v>
      </c>
      <c r="E19" s="12"/>
      <c r="F19" s="9">
        <f>F20/F18</f>
        <v>2099.794286</v>
      </c>
      <c r="G19" s="45">
        <f t="shared" si="10"/>
        <v>0.7240669951</v>
      </c>
      <c r="H19" s="13"/>
      <c r="I19" s="9"/>
      <c r="J19" s="13"/>
      <c r="K19" s="12"/>
      <c r="L19" s="13"/>
      <c r="M19" s="13"/>
      <c r="N19" s="13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17">
        <f>TODAY()</f>
        <v>44538</v>
      </c>
      <c r="AK19" s="14">
        <f>LEFT(AJ19, 2)-1</f>
        <v>7</v>
      </c>
      <c r="AL19" s="18"/>
      <c r="AM19" s="18"/>
    </row>
    <row r="20">
      <c r="A20" s="7" t="s">
        <v>14</v>
      </c>
      <c r="B20" s="8">
        <v>116000.0</v>
      </c>
      <c r="C20" s="9">
        <f>SUM(B23:AF23)</f>
        <v>14698.56</v>
      </c>
      <c r="D20" s="10">
        <f t="shared" si="9"/>
        <v>0.1267117241</v>
      </c>
      <c r="E20" s="9">
        <f>B20-C20</f>
        <v>101301.44</v>
      </c>
      <c r="F20" s="9">
        <f>C20/AJ18*AK18</f>
        <v>65093.62286</v>
      </c>
      <c r="G20" s="45">
        <f t="shared" si="10"/>
        <v>0.5611519212</v>
      </c>
      <c r="H20" s="9">
        <f>F20-B20</f>
        <v>-50906.37714</v>
      </c>
      <c r="I20" s="9">
        <f>E20/(AK18-AJ18)</f>
        <v>4220.893333</v>
      </c>
      <c r="J20" s="19">
        <f>B20/AK18</f>
        <v>3741.935484</v>
      </c>
      <c r="K20" s="47">
        <f>C20/AJ2</f>
        <v>2099.794286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20"/>
      <c r="AK20" s="20"/>
      <c r="AL20" s="20"/>
      <c r="AM20" s="20"/>
    </row>
    <row r="21">
      <c r="A21" s="33" t="s">
        <v>32</v>
      </c>
      <c r="B21" s="34" t="s">
        <v>20</v>
      </c>
      <c r="C21" s="34" t="s">
        <v>21</v>
      </c>
      <c r="D21" s="34" t="s">
        <v>22</v>
      </c>
      <c r="E21" s="34" t="s">
        <v>23</v>
      </c>
      <c r="F21" s="34" t="s">
        <v>24</v>
      </c>
      <c r="G21" s="34" t="s">
        <v>25</v>
      </c>
      <c r="H21" s="34" t="s">
        <v>26</v>
      </c>
      <c r="I21" s="34" t="s">
        <v>20</v>
      </c>
      <c r="J21" s="34" t="s">
        <v>21</v>
      </c>
      <c r="K21" s="34" t="s">
        <v>22</v>
      </c>
      <c r="L21" s="34" t="s">
        <v>23</v>
      </c>
      <c r="M21" s="34" t="s">
        <v>24</v>
      </c>
      <c r="N21" s="34" t="s">
        <v>25</v>
      </c>
      <c r="O21" s="34" t="s">
        <v>26</v>
      </c>
      <c r="P21" s="34" t="s">
        <v>20</v>
      </c>
      <c r="Q21" s="34" t="s">
        <v>21</v>
      </c>
      <c r="R21" s="34" t="s">
        <v>22</v>
      </c>
      <c r="S21" s="34" t="s">
        <v>23</v>
      </c>
      <c r="T21" s="34" t="s">
        <v>24</v>
      </c>
      <c r="U21" s="34" t="s">
        <v>25</v>
      </c>
      <c r="V21" s="34" t="s">
        <v>26</v>
      </c>
      <c r="W21" s="34" t="s">
        <v>20</v>
      </c>
      <c r="X21" s="34" t="s">
        <v>21</v>
      </c>
      <c r="Y21" s="34" t="s">
        <v>22</v>
      </c>
      <c r="Z21" s="34" t="s">
        <v>23</v>
      </c>
      <c r="AA21" s="34" t="s">
        <v>24</v>
      </c>
      <c r="AB21" s="34" t="s">
        <v>25</v>
      </c>
      <c r="AC21" s="34" t="s">
        <v>26</v>
      </c>
      <c r="AD21" s="34" t="s">
        <v>20</v>
      </c>
      <c r="AE21" s="34" t="s">
        <v>21</v>
      </c>
      <c r="AF21" s="34"/>
      <c r="AG21" s="30"/>
      <c r="AH21" s="30"/>
      <c r="AI21" s="30"/>
      <c r="AJ21" s="20"/>
      <c r="AK21" s="20"/>
      <c r="AL21" s="20"/>
      <c r="AM21" s="20"/>
    </row>
    <row r="22">
      <c r="A22" s="35" t="s">
        <v>27</v>
      </c>
      <c r="B22" s="36">
        <v>44531.0</v>
      </c>
      <c r="C22" s="36">
        <v>44532.0</v>
      </c>
      <c r="D22" s="36">
        <v>44533.0</v>
      </c>
      <c r="E22" s="36">
        <v>44534.0</v>
      </c>
      <c r="F22" s="36">
        <v>44535.0</v>
      </c>
      <c r="G22" s="36">
        <v>44536.0</v>
      </c>
      <c r="H22" s="36">
        <v>44537.0</v>
      </c>
      <c r="I22" s="36">
        <v>44538.0</v>
      </c>
      <c r="J22" s="36">
        <v>44539.0</v>
      </c>
      <c r="K22" s="36">
        <v>44540.0</v>
      </c>
      <c r="L22" s="36">
        <v>44541.0</v>
      </c>
      <c r="M22" s="36">
        <v>44542.0</v>
      </c>
      <c r="N22" s="36">
        <v>44543.0</v>
      </c>
      <c r="O22" s="36">
        <v>44544.0</v>
      </c>
      <c r="P22" s="36">
        <v>44545.0</v>
      </c>
      <c r="Q22" s="36">
        <v>44546.0</v>
      </c>
      <c r="R22" s="36">
        <v>44547.0</v>
      </c>
      <c r="S22" s="36">
        <v>44548.0</v>
      </c>
      <c r="T22" s="36">
        <v>44549.0</v>
      </c>
      <c r="U22" s="36">
        <v>44550.0</v>
      </c>
      <c r="V22" s="36">
        <v>44551.0</v>
      </c>
      <c r="W22" s="36">
        <v>44552.0</v>
      </c>
      <c r="X22" s="36">
        <v>44553.0</v>
      </c>
      <c r="Y22" s="36">
        <v>44554.0</v>
      </c>
      <c r="Z22" s="36">
        <v>44555.0</v>
      </c>
      <c r="AA22" s="36">
        <v>44556.0</v>
      </c>
      <c r="AB22" s="36">
        <v>44557.0</v>
      </c>
      <c r="AC22" s="36">
        <v>44558.0</v>
      </c>
      <c r="AD22" s="36">
        <v>44559.0</v>
      </c>
      <c r="AE22" s="36">
        <v>44560.0</v>
      </c>
      <c r="AF22" s="48"/>
      <c r="AG22" s="37"/>
      <c r="AH22" s="37"/>
      <c r="AI22" s="37"/>
      <c r="AJ22" s="18"/>
      <c r="AK22" s="18"/>
      <c r="AL22" s="18"/>
      <c r="AM22" s="18"/>
    </row>
    <row r="23">
      <c r="A23" s="49" t="s">
        <v>28</v>
      </c>
      <c r="B23" s="38">
        <f>1.004*2880</f>
        <v>2891.52</v>
      </c>
      <c r="C23" s="38">
        <v>0.0</v>
      </c>
      <c r="D23" s="50">
        <v>0.0</v>
      </c>
      <c r="E23" s="38">
        <f>1.004*2880</f>
        <v>2891.52</v>
      </c>
      <c r="F23" s="38">
        <v>0.0</v>
      </c>
      <c r="G23" s="38">
        <f>1.004*8880</f>
        <v>8915.52</v>
      </c>
      <c r="H23" s="38">
        <v>0.0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51"/>
      <c r="AH23" s="51"/>
      <c r="AI23" s="51"/>
      <c r="AJ23" s="20"/>
      <c r="AK23" s="20"/>
      <c r="AL23" s="20"/>
      <c r="AM23" s="20"/>
    </row>
    <row r="24">
      <c r="A24" s="49" t="s">
        <v>29</v>
      </c>
      <c r="B24" s="38">
        <v>1.0</v>
      </c>
      <c r="C24" s="38">
        <v>0.0</v>
      </c>
      <c r="D24" s="38">
        <v>1.0</v>
      </c>
      <c r="E24" s="38">
        <v>1.0</v>
      </c>
      <c r="F24" s="38">
        <v>0.0</v>
      </c>
      <c r="G24" s="38">
        <v>3.0</v>
      </c>
      <c r="H24" s="38">
        <v>1.0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52"/>
      <c r="AG24" s="51"/>
      <c r="AH24" s="51"/>
      <c r="AI24" s="51"/>
      <c r="AJ24" s="20"/>
      <c r="AK24" s="20"/>
      <c r="AL24" s="20"/>
      <c r="AM24" s="20"/>
    </row>
    <row r="25">
      <c r="A25" s="35" t="s">
        <v>30</v>
      </c>
      <c r="B25" s="53">
        <f t="shared" ref="B25:AE25" si="11">B23/B24</f>
        <v>2891.52</v>
      </c>
      <c r="C25" s="53" t="str">
        <f t="shared" si="11"/>
        <v>#DIV/0!</v>
      </c>
      <c r="D25" s="53">
        <f t="shared" si="11"/>
        <v>0</v>
      </c>
      <c r="E25" s="53">
        <f t="shared" si="11"/>
        <v>2891.52</v>
      </c>
      <c r="F25" s="53" t="str">
        <f t="shared" si="11"/>
        <v>#DIV/0!</v>
      </c>
      <c r="G25" s="53">
        <f t="shared" si="11"/>
        <v>2971.84</v>
      </c>
      <c r="H25" s="53">
        <f t="shared" si="11"/>
        <v>0</v>
      </c>
      <c r="I25" s="53" t="str">
        <f t="shared" si="11"/>
        <v>#DIV/0!</v>
      </c>
      <c r="J25" s="53" t="str">
        <f t="shared" si="11"/>
        <v>#DIV/0!</v>
      </c>
      <c r="K25" s="53" t="str">
        <f t="shared" si="11"/>
        <v>#DIV/0!</v>
      </c>
      <c r="L25" s="53" t="str">
        <f t="shared" si="11"/>
        <v>#DIV/0!</v>
      </c>
      <c r="M25" s="53" t="str">
        <f t="shared" si="11"/>
        <v>#DIV/0!</v>
      </c>
      <c r="N25" s="53" t="str">
        <f t="shared" si="11"/>
        <v>#DIV/0!</v>
      </c>
      <c r="O25" s="53" t="str">
        <f t="shared" si="11"/>
        <v>#DIV/0!</v>
      </c>
      <c r="P25" s="53" t="str">
        <f t="shared" si="11"/>
        <v>#DIV/0!</v>
      </c>
      <c r="Q25" s="53" t="str">
        <f t="shared" si="11"/>
        <v>#DIV/0!</v>
      </c>
      <c r="R25" s="53" t="str">
        <f t="shared" si="11"/>
        <v>#DIV/0!</v>
      </c>
      <c r="S25" s="53" t="str">
        <f t="shared" si="11"/>
        <v>#DIV/0!</v>
      </c>
      <c r="T25" s="53" t="str">
        <f t="shared" si="11"/>
        <v>#DIV/0!</v>
      </c>
      <c r="U25" s="53" t="str">
        <f t="shared" si="11"/>
        <v>#DIV/0!</v>
      </c>
      <c r="V25" s="53" t="str">
        <f t="shared" si="11"/>
        <v>#DIV/0!</v>
      </c>
      <c r="W25" s="53" t="str">
        <f t="shared" si="11"/>
        <v>#DIV/0!</v>
      </c>
      <c r="X25" s="53" t="str">
        <f t="shared" si="11"/>
        <v>#DIV/0!</v>
      </c>
      <c r="Y25" s="53" t="str">
        <f t="shared" si="11"/>
        <v>#DIV/0!</v>
      </c>
      <c r="Z25" s="53" t="str">
        <f t="shared" si="11"/>
        <v>#DIV/0!</v>
      </c>
      <c r="AA25" s="53" t="str">
        <f t="shared" si="11"/>
        <v>#DIV/0!</v>
      </c>
      <c r="AB25" s="53" t="str">
        <f t="shared" si="11"/>
        <v>#DIV/0!</v>
      </c>
      <c r="AC25" s="53" t="str">
        <f t="shared" si="11"/>
        <v>#DIV/0!</v>
      </c>
      <c r="AD25" s="53" t="str">
        <f t="shared" si="11"/>
        <v>#DIV/0!</v>
      </c>
      <c r="AE25" s="53" t="str">
        <f t="shared" si="11"/>
        <v>#DIV/0!</v>
      </c>
      <c r="AF25" s="54"/>
      <c r="AG25" s="55"/>
      <c r="AH25" s="55"/>
      <c r="AI25" s="55"/>
      <c r="AJ25" s="40"/>
      <c r="AK25" s="40"/>
      <c r="AL25" s="40"/>
      <c r="AM25" s="40"/>
    </row>
    <row r="26">
      <c r="A26" s="42"/>
      <c r="B26" s="43"/>
      <c r="C26" s="43"/>
      <c r="D26" s="43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0"/>
      <c r="AK26" s="40"/>
      <c r="AL26" s="40"/>
      <c r="AM26" s="40"/>
    </row>
    <row r="27">
      <c r="A27" s="26" t="s">
        <v>33</v>
      </c>
      <c r="B27" s="27" t="s">
        <v>1</v>
      </c>
      <c r="C27" s="28" t="s">
        <v>2</v>
      </c>
      <c r="D27" s="28" t="s">
        <v>3</v>
      </c>
      <c r="E27" s="28" t="s">
        <v>4</v>
      </c>
      <c r="F27" s="28" t="s">
        <v>34</v>
      </c>
      <c r="G27" s="29" t="s">
        <v>6</v>
      </c>
      <c r="H27" s="28" t="s">
        <v>7</v>
      </c>
      <c r="I27" s="29" t="s">
        <v>8</v>
      </c>
      <c r="J27" s="28" t="s">
        <v>9</v>
      </c>
      <c r="K27" s="29" t="s">
        <v>10</v>
      </c>
      <c r="L27" s="28" t="s">
        <v>11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0"/>
      <c r="AK27" s="20"/>
      <c r="AL27" s="20"/>
      <c r="AM27" s="20"/>
    </row>
    <row r="28">
      <c r="A28" s="7" t="s">
        <v>12</v>
      </c>
      <c r="B28" s="8">
        <v>60.0</v>
      </c>
      <c r="C28" s="9">
        <f>SUM(B34:AF34)</f>
        <v>17</v>
      </c>
      <c r="D28" s="10">
        <f>C28/B28</f>
        <v>0.2833333333</v>
      </c>
      <c r="E28" s="19">
        <f>B28-C28</f>
        <v>43</v>
      </c>
      <c r="F28" s="9">
        <f>C28/AJ28*AK28</f>
        <v>75.28571429</v>
      </c>
      <c r="G28" s="45">
        <f t="shared" ref="G28:G30" si="13">F28/B28</f>
        <v>1.254761905</v>
      </c>
      <c r="H28" s="9">
        <f>F28-B28</f>
        <v>15.28571429</v>
      </c>
      <c r="I28" s="19">
        <f>E28/(AK28-AJ28)</f>
        <v>1.791666667</v>
      </c>
      <c r="J28" s="12">
        <f>B28/AK18</f>
        <v>1.935483871</v>
      </c>
      <c r="K28" s="12">
        <f>C28/AJ2</f>
        <v>2.428571429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>
        <f>AK29</f>
        <v>7</v>
      </c>
      <c r="AK28" s="14" t="str">
        <f>AM28</f>
        <v>31</v>
      </c>
      <c r="AL28" s="15">
        <f>DATE(YEAR(TODAY()),MONTH(TODAY())+1,1)-1</f>
        <v>44561</v>
      </c>
      <c r="AM28" s="14" t="str">
        <f>LEFT(AL28, 2)</f>
        <v>31</v>
      </c>
    </row>
    <row r="29">
      <c r="A29" s="7" t="s">
        <v>13</v>
      </c>
      <c r="B29" s="8">
        <f t="shared" ref="B29:D29" si="12">B30/B28</f>
        <v>4150</v>
      </c>
      <c r="C29" s="56">
        <f t="shared" si="12"/>
        <v>2975.058115</v>
      </c>
      <c r="D29" s="10">
        <f t="shared" si="12"/>
        <v>0.7168814736</v>
      </c>
      <c r="E29" s="13"/>
      <c r="F29" s="9">
        <f>F30/F28</f>
        <v>2975.058115</v>
      </c>
      <c r="G29" s="45">
        <f t="shared" si="13"/>
        <v>0.7168814736</v>
      </c>
      <c r="H29" s="13"/>
      <c r="I29" s="9"/>
      <c r="J29" s="13"/>
      <c r="K29" s="13"/>
      <c r="L29" s="13"/>
      <c r="M29" s="13"/>
      <c r="N29" s="13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7">
        <f>TODAY()</f>
        <v>44538</v>
      </c>
      <c r="AK29" s="14">
        <f>LEFT(AJ29, 2)-1</f>
        <v>7</v>
      </c>
      <c r="AL29" s="18"/>
      <c r="AM29" s="18"/>
    </row>
    <row r="30">
      <c r="A30" s="7" t="s">
        <v>14</v>
      </c>
      <c r="B30" s="8">
        <v>249000.0</v>
      </c>
      <c r="C30" s="9">
        <f>SUM(B33:AF33)</f>
        <v>50575.98796</v>
      </c>
      <c r="D30" s="10">
        <f>C30/B30</f>
        <v>0.2031164175</v>
      </c>
      <c r="E30" s="9">
        <f>B30-C30</f>
        <v>198424.012</v>
      </c>
      <c r="F30" s="9">
        <f>C30/AJ28*AK28</f>
        <v>223979.3753</v>
      </c>
      <c r="G30" s="45">
        <f t="shared" si="13"/>
        <v>0.8995155633</v>
      </c>
      <c r="H30" s="9">
        <f>F30-B30</f>
        <v>-25020.62475</v>
      </c>
      <c r="I30" s="9">
        <f>E30/(AK28-AJ28)</f>
        <v>8267.667168</v>
      </c>
      <c r="J30" s="19">
        <f>B30/AK18</f>
        <v>8032.258065</v>
      </c>
      <c r="K30" s="12">
        <f>C30/AJ2</f>
        <v>7225.141137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0"/>
      <c r="AK30" s="20"/>
      <c r="AL30" s="20"/>
      <c r="AM30" s="20"/>
    </row>
    <row r="31">
      <c r="A31" s="33" t="s">
        <v>35</v>
      </c>
      <c r="B31" s="34" t="s">
        <v>20</v>
      </c>
      <c r="C31" s="34" t="s">
        <v>21</v>
      </c>
      <c r="D31" s="34" t="s">
        <v>22</v>
      </c>
      <c r="E31" s="34" t="s">
        <v>23</v>
      </c>
      <c r="F31" s="34" t="s">
        <v>24</v>
      </c>
      <c r="G31" s="34" t="s">
        <v>25</v>
      </c>
      <c r="H31" s="34" t="s">
        <v>26</v>
      </c>
      <c r="I31" s="34" t="s">
        <v>20</v>
      </c>
      <c r="J31" s="34" t="s">
        <v>21</v>
      </c>
      <c r="K31" s="34" t="s">
        <v>22</v>
      </c>
      <c r="L31" s="34" t="s">
        <v>23</v>
      </c>
      <c r="M31" s="34" t="s">
        <v>24</v>
      </c>
      <c r="N31" s="34" t="s">
        <v>25</v>
      </c>
      <c r="O31" s="34" t="s">
        <v>26</v>
      </c>
      <c r="P31" s="34" t="s">
        <v>20</v>
      </c>
      <c r="Q31" s="34" t="s">
        <v>21</v>
      </c>
      <c r="R31" s="34" t="s">
        <v>22</v>
      </c>
      <c r="S31" s="34" t="s">
        <v>23</v>
      </c>
      <c r="T31" s="34" t="s">
        <v>24</v>
      </c>
      <c r="U31" s="34" t="s">
        <v>25</v>
      </c>
      <c r="V31" s="34" t="s">
        <v>26</v>
      </c>
      <c r="W31" s="34" t="s">
        <v>20</v>
      </c>
      <c r="X31" s="34" t="s">
        <v>21</v>
      </c>
      <c r="Y31" s="34" t="s">
        <v>22</v>
      </c>
      <c r="Z31" s="34" t="s">
        <v>23</v>
      </c>
      <c r="AA31" s="34" t="s">
        <v>24</v>
      </c>
      <c r="AB31" s="34" t="s">
        <v>25</v>
      </c>
      <c r="AC31" s="34" t="s">
        <v>26</v>
      </c>
      <c r="AD31" s="34" t="s">
        <v>20</v>
      </c>
      <c r="AE31" s="34" t="s">
        <v>21</v>
      </c>
      <c r="AF31" s="34" t="s">
        <v>22</v>
      </c>
      <c r="AG31" s="30"/>
      <c r="AH31" s="30"/>
      <c r="AI31" s="30"/>
      <c r="AJ31" s="20"/>
      <c r="AK31" s="20"/>
      <c r="AL31" s="20"/>
      <c r="AM31" s="20"/>
    </row>
    <row r="32">
      <c r="A32" s="35" t="s">
        <v>27</v>
      </c>
      <c r="B32" s="36">
        <v>44531.0</v>
      </c>
      <c r="C32" s="36">
        <v>44532.0</v>
      </c>
      <c r="D32" s="36">
        <v>44533.0</v>
      </c>
      <c r="E32" s="36">
        <v>44534.0</v>
      </c>
      <c r="F32" s="36">
        <v>44535.0</v>
      </c>
      <c r="G32" s="36">
        <v>44536.0</v>
      </c>
      <c r="H32" s="36">
        <v>44537.0</v>
      </c>
      <c r="I32" s="36">
        <v>44538.0</v>
      </c>
      <c r="J32" s="36">
        <v>44539.0</v>
      </c>
      <c r="K32" s="36">
        <v>44540.0</v>
      </c>
      <c r="L32" s="36">
        <v>44541.0</v>
      </c>
      <c r="M32" s="36">
        <v>44542.0</v>
      </c>
      <c r="N32" s="36">
        <v>44543.0</v>
      </c>
      <c r="O32" s="36">
        <v>44544.0</v>
      </c>
      <c r="P32" s="36">
        <v>44545.0</v>
      </c>
      <c r="Q32" s="36">
        <v>44546.0</v>
      </c>
      <c r="R32" s="36">
        <v>44547.0</v>
      </c>
      <c r="S32" s="36">
        <v>44548.0</v>
      </c>
      <c r="T32" s="36">
        <v>44549.0</v>
      </c>
      <c r="U32" s="36">
        <v>44550.0</v>
      </c>
      <c r="V32" s="36">
        <v>44551.0</v>
      </c>
      <c r="W32" s="36">
        <v>44552.0</v>
      </c>
      <c r="X32" s="36">
        <v>44553.0</v>
      </c>
      <c r="Y32" s="36">
        <v>44554.0</v>
      </c>
      <c r="Z32" s="36">
        <v>44555.0</v>
      </c>
      <c r="AA32" s="36">
        <v>44556.0</v>
      </c>
      <c r="AB32" s="36">
        <v>44557.0</v>
      </c>
      <c r="AC32" s="36">
        <v>44558.0</v>
      </c>
      <c r="AD32" s="36">
        <v>44559.0</v>
      </c>
      <c r="AE32" s="36">
        <v>44560.0</v>
      </c>
      <c r="AF32" s="36">
        <v>44561.0</v>
      </c>
      <c r="AG32" s="37"/>
      <c r="AH32" s="37"/>
      <c r="AI32" s="37"/>
      <c r="AJ32" s="18"/>
      <c r="AK32" s="18"/>
      <c r="AL32" s="18"/>
      <c r="AM32" s="18"/>
    </row>
    <row r="33">
      <c r="A33" s="49" t="s">
        <v>28</v>
      </c>
      <c r="B33" s="38">
        <f>1.004*5196.4
</f>
        <v>5217.1856</v>
      </c>
      <c r="C33" s="38">
        <f>1.004*6679.5</f>
        <v>6706.218</v>
      </c>
      <c r="D33" s="38">
        <f>1.004*2486.29</f>
        <v>2496.23516</v>
      </c>
      <c r="E33" s="38">
        <f>1.004*5125.33</f>
        <v>5145.83132</v>
      </c>
      <c r="F33" s="38">
        <f>1.004*4658.48</f>
        <v>4677.11392</v>
      </c>
      <c r="G33" s="38">
        <f>1.004*12604.67</f>
        <v>12655.08868</v>
      </c>
      <c r="H33" s="38">
        <f>1.004*13623.82</f>
        <v>13678.31528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51"/>
      <c r="AH33" s="51"/>
      <c r="AI33" s="51"/>
      <c r="AJ33" s="20"/>
      <c r="AK33" s="20"/>
      <c r="AL33" s="20"/>
      <c r="AM33" s="20"/>
    </row>
    <row r="34">
      <c r="A34" s="49" t="s">
        <v>29</v>
      </c>
      <c r="B34" s="38">
        <v>2.0</v>
      </c>
      <c r="C34" s="38">
        <v>3.0</v>
      </c>
      <c r="D34" s="38">
        <v>1.0</v>
      </c>
      <c r="E34" s="38">
        <v>1.0</v>
      </c>
      <c r="F34" s="38">
        <v>1.0</v>
      </c>
      <c r="G34" s="38">
        <v>5.0</v>
      </c>
      <c r="H34" s="38">
        <v>4.0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51"/>
      <c r="AH34" s="51"/>
      <c r="AI34" s="51"/>
      <c r="AJ34" s="20"/>
      <c r="AK34" s="20"/>
      <c r="AL34" s="20"/>
      <c r="AM34" s="20"/>
    </row>
    <row r="35">
      <c r="A35" s="35" t="s">
        <v>30</v>
      </c>
      <c r="B35" s="53">
        <f t="shared" ref="B35:AF35" si="14">B33/B34</f>
        <v>2608.5928</v>
      </c>
      <c r="C35" s="53">
        <f t="shared" si="14"/>
        <v>2235.406</v>
      </c>
      <c r="D35" s="53">
        <f t="shared" si="14"/>
        <v>2496.23516</v>
      </c>
      <c r="E35" s="53">
        <f t="shared" si="14"/>
        <v>5145.83132</v>
      </c>
      <c r="F35" s="53">
        <f t="shared" si="14"/>
        <v>4677.11392</v>
      </c>
      <c r="G35" s="53">
        <f t="shared" si="14"/>
        <v>2531.017736</v>
      </c>
      <c r="H35" s="53">
        <f t="shared" si="14"/>
        <v>3419.57882</v>
      </c>
      <c r="I35" s="53" t="str">
        <f t="shared" si="14"/>
        <v>#DIV/0!</v>
      </c>
      <c r="J35" s="53" t="str">
        <f t="shared" si="14"/>
        <v>#DIV/0!</v>
      </c>
      <c r="K35" s="53" t="str">
        <f t="shared" si="14"/>
        <v>#DIV/0!</v>
      </c>
      <c r="L35" s="53" t="str">
        <f t="shared" si="14"/>
        <v>#DIV/0!</v>
      </c>
      <c r="M35" s="53" t="str">
        <f t="shared" si="14"/>
        <v>#DIV/0!</v>
      </c>
      <c r="N35" s="53" t="str">
        <f t="shared" si="14"/>
        <v>#DIV/0!</v>
      </c>
      <c r="O35" s="53" t="str">
        <f t="shared" si="14"/>
        <v>#DIV/0!</v>
      </c>
      <c r="P35" s="53" t="str">
        <f t="shared" si="14"/>
        <v>#DIV/0!</v>
      </c>
      <c r="Q35" s="53" t="str">
        <f t="shared" si="14"/>
        <v>#DIV/0!</v>
      </c>
      <c r="R35" s="53" t="str">
        <f t="shared" si="14"/>
        <v>#DIV/0!</v>
      </c>
      <c r="S35" s="53" t="str">
        <f t="shared" si="14"/>
        <v>#DIV/0!</v>
      </c>
      <c r="T35" s="53" t="str">
        <f t="shared" si="14"/>
        <v>#DIV/0!</v>
      </c>
      <c r="U35" s="53" t="str">
        <f t="shared" si="14"/>
        <v>#DIV/0!</v>
      </c>
      <c r="V35" s="53" t="str">
        <f t="shared" si="14"/>
        <v>#DIV/0!</v>
      </c>
      <c r="W35" s="53" t="str">
        <f t="shared" si="14"/>
        <v>#DIV/0!</v>
      </c>
      <c r="X35" s="53" t="str">
        <f t="shared" si="14"/>
        <v>#DIV/0!</v>
      </c>
      <c r="Y35" s="53" t="str">
        <f t="shared" si="14"/>
        <v>#DIV/0!</v>
      </c>
      <c r="Z35" s="53" t="str">
        <f t="shared" si="14"/>
        <v>#DIV/0!</v>
      </c>
      <c r="AA35" s="53" t="str">
        <f t="shared" si="14"/>
        <v>#DIV/0!</v>
      </c>
      <c r="AB35" s="53" t="str">
        <f t="shared" si="14"/>
        <v>#DIV/0!</v>
      </c>
      <c r="AC35" s="53" t="str">
        <f t="shared" si="14"/>
        <v>#DIV/0!</v>
      </c>
      <c r="AD35" s="53" t="str">
        <f t="shared" si="14"/>
        <v>#DIV/0!</v>
      </c>
      <c r="AE35" s="53" t="str">
        <f t="shared" si="14"/>
        <v>#DIV/0!</v>
      </c>
      <c r="AF35" s="53" t="str">
        <f t="shared" si="14"/>
        <v>#DIV/0!</v>
      </c>
      <c r="AG35" s="55"/>
      <c r="AH35" s="55"/>
      <c r="AI35" s="55"/>
      <c r="AJ35" s="40"/>
      <c r="AK35" s="40"/>
      <c r="AL35" s="40"/>
      <c r="AM35" s="40"/>
    </row>
    <row r="36">
      <c r="A36" s="25"/>
      <c r="B36" s="22"/>
      <c r="C36" s="23"/>
      <c r="D36" s="23"/>
      <c r="E36" s="23"/>
      <c r="F36" s="23"/>
      <c r="G36" s="23"/>
      <c r="H36" s="23"/>
      <c r="I36" s="23"/>
      <c r="J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0"/>
      <c r="AK36" s="20"/>
      <c r="AL36" s="20"/>
      <c r="AM36" s="20"/>
    </row>
    <row r="37">
      <c r="A37" s="25" t="s">
        <v>36</v>
      </c>
      <c r="B37" s="22"/>
      <c r="C37" s="23"/>
      <c r="D37" s="23"/>
      <c r="E37" s="23"/>
      <c r="F37" s="23"/>
      <c r="G37" s="23"/>
      <c r="H37" s="23"/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0"/>
      <c r="AK37" s="20"/>
      <c r="AL37" s="20"/>
      <c r="AM37" s="20"/>
    </row>
    <row r="38" ht="33.0" customHeight="1">
      <c r="A38" s="1" t="s">
        <v>37</v>
      </c>
      <c r="B38" s="2" t="s">
        <v>1</v>
      </c>
      <c r="C38" s="3" t="s">
        <v>2</v>
      </c>
      <c r="D38" s="3" t="s">
        <v>3</v>
      </c>
      <c r="E38" s="3" t="s">
        <v>4</v>
      </c>
      <c r="F38" s="4" t="s">
        <v>5</v>
      </c>
      <c r="G38" s="4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>
      <c r="A39" s="7" t="s">
        <v>12</v>
      </c>
      <c r="B39" s="9">
        <f t="shared" ref="B39:C39" si="15">B45+B55+B65</f>
        <v>165</v>
      </c>
      <c r="C39" s="9">
        <f t="shared" si="15"/>
        <v>149</v>
      </c>
      <c r="D39" s="10">
        <f t="shared" ref="D39:D41" si="17">C39/B39</f>
        <v>0.903030303</v>
      </c>
      <c r="E39" s="9">
        <f>B39-C39</f>
        <v>16</v>
      </c>
      <c r="F39" s="9">
        <f>C39/AJ39*AK39</f>
        <v>659.8571429</v>
      </c>
      <c r="G39" s="10">
        <f t="shared" ref="G39:G41" si="18">F39/B39</f>
        <v>3.999134199</v>
      </c>
      <c r="H39" s="9">
        <f>F39-B39</f>
        <v>494.8571429</v>
      </c>
      <c r="I39" s="11">
        <f>E39/(AK39-AJ39)</f>
        <v>0.6666666667</v>
      </c>
      <c r="J39" s="12">
        <f>B39/AK39</f>
        <v>5.322580645</v>
      </c>
      <c r="K39" s="12">
        <f>C39/AJ39</f>
        <v>21.28571429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>
        <f>AK40</f>
        <v>7</v>
      </c>
      <c r="AK39" s="14" t="str">
        <f>AM39</f>
        <v>31</v>
      </c>
      <c r="AL39" s="15">
        <f>DATE(YEAR(TODAY()),MONTH(TODAY())+1,1)-1</f>
        <v>44561</v>
      </c>
      <c r="AM39" s="14" t="str">
        <f>LEFT(AL39, 2)</f>
        <v>31</v>
      </c>
    </row>
    <row r="40">
      <c r="A40" s="7" t="s">
        <v>13</v>
      </c>
      <c r="B40" s="9">
        <f t="shared" ref="B40:C40" si="16">B41/B39</f>
        <v>4063.89697</v>
      </c>
      <c r="C40" s="9">
        <f t="shared" si="16"/>
        <v>3932.352229</v>
      </c>
      <c r="D40" s="10">
        <f t="shared" si="17"/>
        <v>0.9676308869</v>
      </c>
      <c r="E40" s="16"/>
      <c r="F40" s="8">
        <f>F41/F39</f>
        <v>3932.352229</v>
      </c>
      <c r="G40" s="10">
        <f t="shared" si="18"/>
        <v>0.9676308869</v>
      </c>
      <c r="H40" s="16"/>
      <c r="I40" s="16"/>
      <c r="J40" s="13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7">
        <f>TODAY()</f>
        <v>44538</v>
      </c>
      <c r="AK40" s="14">
        <f>LEFT(AJ40, 2)-1</f>
        <v>7</v>
      </c>
      <c r="AL40" s="18"/>
      <c r="AM40" s="18"/>
    </row>
    <row r="41">
      <c r="A41" s="7" t="s">
        <v>14</v>
      </c>
      <c r="B41" s="9">
        <f t="shared" ref="B41:C41" si="19">B47+B57+B67</f>
        <v>670543</v>
      </c>
      <c r="C41" s="9">
        <f t="shared" si="19"/>
        <v>585920.4821</v>
      </c>
      <c r="D41" s="10">
        <f t="shared" si="17"/>
        <v>0.873800013</v>
      </c>
      <c r="E41" s="9">
        <f>B41-C41</f>
        <v>84622.51788</v>
      </c>
      <c r="F41" s="9">
        <f>C41/AJ39*AK39</f>
        <v>2594790.707</v>
      </c>
      <c r="G41" s="10">
        <f t="shared" si="18"/>
        <v>3.869685772</v>
      </c>
      <c r="H41" s="9">
        <f>F41-B41</f>
        <v>1924247.707</v>
      </c>
      <c r="I41" s="19">
        <f>E41/(AK39-AJ39)</f>
        <v>3525.938245</v>
      </c>
      <c r="J41" s="12">
        <f>B41/AK39</f>
        <v>21630.41935</v>
      </c>
      <c r="K41" s="12">
        <f>C41/AJ39</f>
        <v>83702.92602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0"/>
      <c r="AK41" s="20"/>
      <c r="AL41" s="20"/>
      <c r="AM41" s="20"/>
    </row>
    <row r="42">
      <c r="A42" s="21"/>
      <c r="B42" s="22"/>
      <c r="C42" s="23"/>
      <c r="D42" s="23"/>
      <c r="E42" s="23"/>
      <c r="F42" s="23"/>
      <c r="G42" s="23"/>
      <c r="H42" s="23"/>
      <c r="I42" s="23"/>
      <c r="J42" s="23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0"/>
      <c r="AK42" s="20"/>
      <c r="AL42" s="20"/>
      <c r="AM42" s="20"/>
    </row>
    <row r="43">
      <c r="A43" s="25" t="s">
        <v>15</v>
      </c>
      <c r="B43" s="22"/>
      <c r="C43" s="23"/>
      <c r="D43" s="23"/>
      <c r="E43" s="23"/>
      <c r="F43" s="23"/>
      <c r="G43" s="23"/>
      <c r="H43" s="23"/>
      <c r="I43" s="23"/>
      <c r="J43" s="2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0"/>
      <c r="AK43" s="20"/>
      <c r="AL43" s="20"/>
      <c r="AM43" s="20"/>
    </row>
    <row r="44">
      <c r="A44" s="26" t="s">
        <v>38</v>
      </c>
      <c r="B44" s="27" t="s">
        <v>1</v>
      </c>
      <c r="C44" s="28" t="s">
        <v>2</v>
      </c>
      <c r="D44" s="28" t="s">
        <v>3</v>
      </c>
      <c r="E44" s="28" t="s">
        <v>4</v>
      </c>
      <c r="F44" s="29" t="s">
        <v>5</v>
      </c>
      <c r="G44" s="29" t="s">
        <v>6</v>
      </c>
      <c r="H44" s="28" t="s">
        <v>7</v>
      </c>
      <c r="I44" s="28" t="s">
        <v>8</v>
      </c>
      <c r="J44" s="28" t="s">
        <v>9</v>
      </c>
      <c r="K44" s="29" t="s">
        <v>10</v>
      </c>
      <c r="L44" s="29" t="s">
        <v>17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0"/>
      <c r="AK44" s="20"/>
      <c r="AL44" s="20"/>
      <c r="AM44" s="20"/>
    </row>
    <row r="45">
      <c r="A45" s="7" t="s">
        <v>12</v>
      </c>
      <c r="B45" s="8">
        <v>75.0</v>
      </c>
      <c r="C45" s="9">
        <f>SUM(B51:AF51)</f>
        <v>51</v>
      </c>
      <c r="D45" s="10">
        <f t="shared" ref="D45:D47" si="21">C45/B45</f>
        <v>0.68</v>
      </c>
      <c r="E45" s="19">
        <f>B45-C45</f>
        <v>24</v>
      </c>
      <c r="F45" s="9">
        <f>C45/AJ45*AK45</f>
        <v>225.8571429</v>
      </c>
      <c r="G45" s="10">
        <f t="shared" ref="G45:G47" si="22">F45/B45</f>
        <v>3.011428571</v>
      </c>
      <c r="H45" s="9">
        <f>F45-B45</f>
        <v>150.8571429</v>
      </c>
      <c r="I45" s="19">
        <f>E45/(AK45-AJ45)</f>
        <v>1</v>
      </c>
      <c r="J45" s="12">
        <f>B45/AK45</f>
        <v>2.419354839</v>
      </c>
      <c r="K45" s="12">
        <f>C45/AJ39</f>
        <v>7.285714286</v>
      </c>
      <c r="L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4">
        <f>AK46</f>
        <v>7</v>
      </c>
      <c r="AK45" s="14" t="str">
        <f>AM45</f>
        <v>31</v>
      </c>
      <c r="AL45" s="15">
        <f>DATE(YEAR(TODAY()),MONTH(TODAY())+1,1)-1</f>
        <v>44561</v>
      </c>
      <c r="AM45" s="14" t="str">
        <f>LEFT(AL45, 2)</f>
        <v>31</v>
      </c>
    </row>
    <row r="46">
      <c r="A46" s="7" t="s">
        <v>18</v>
      </c>
      <c r="B46" s="8">
        <f t="shared" ref="B46:C46" si="20">B47/B45</f>
        <v>4313.92</v>
      </c>
      <c r="C46" s="9">
        <f t="shared" si="20"/>
        <v>4750.214128</v>
      </c>
      <c r="D46" s="10">
        <f t="shared" si="21"/>
        <v>1.101136351</v>
      </c>
      <c r="E46" s="13"/>
      <c r="F46" s="9">
        <f>F47/F45</f>
        <v>4750.214128</v>
      </c>
      <c r="G46" s="10">
        <f t="shared" si="22"/>
        <v>1.101136351</v>
      </c>
      <c r="H46" s="13"/>
      <c r="I46" s="9"/>
      <c r="J46" s="13"/>
      <c r="K46" s="12"/>
      <c r="L46" s="13"/>
      <c r="N46" s="13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17">
        <f>TODAY()</f>
        <v>44538</v>
      </c>
      <c r="AK46" s="14">
        <f>LEFT(AJ46, 2)-1</f>
        <v>7</v>
      </c>
      <c r="AL46" s="18"/>
      <c r="AM46" s="18"/>
    </row>
    <row r="47">
      <c r="A47" s="7" t="s">
        <v>14</v>
      </c>
      <c r="B47" s="8">
        <v>323544.0</v>
      </c>
      <c r="C47" s="9">
        <f>SUM(B50:AF50)</f>
        <v>242260.9205</v>
      </c>
      <c r="D47" s="10">
        <f t="shared" si="21"/>
        <v>0.7487727188</v>
      </c>
      <c r="E47" s="9">
        <f>B47-C47</f>
        <v>81283.07948</v>
      </c>
      <c r="F47" s="9">
        <f>C47/AJ45*AK45</f>
        <v>1072869.791</v>
      </c>
      <c r="G47" s="10">
        <f t="shared" si="22"/>
        <v>3.315993469</v>
      </c>
      <c r="H47" s="9">
        <f>F47-B47</f>
        <v>749325.7909</v>
      </c>
      <c r="I47" s="9">
        <f>E47/(AK45-AJ45)</f>
        <v>3386.794978</v>
      </c>
      <c r="J47" s="19">
        <f>B47/AK45</f>
        <v>10436.90323</v>
      </c>
      <c r="K47" s="12">
        <f>C47/AJ39</f>
        <v>34608.70293</v>
      </c>
      <c r="L47" s="32">
        <f>(I47+I57)/1.2/1.004</f>
        <v>2902.426133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20"/>
      <c r="AK47" s="20"/>
      <c r="AL47" s="20"/>
      <c r="AM47" s="20"/>
    </row>
    <row r="48">
      <c r="A48" s="33" t="s">
        <v>39</v>
      </c>
      <c r="B48" s="34" t="s">
        <v>25</v>
      </c>
      <c r="C48" s="34" t="s">
        <v>26</v>
      </c>
      <c r="D48" s="34" t="s">
        <v>20</v>
      </c>
      <c r="E48" s="34" t="s">
        <v>21</v>
      </c>
      <c r="F48" s="34" t="s">
        <v>22</v>
      </c>
      <c r="G48" s="34" t="s">
        <v>23</v>
      </c>
      <c r="H48" s="34" t="s">
        <v>24</v>
      </c>
      <c r="I48" s="34" t="s">
        <v>25</v>
      </c>
      <c r="J48" s="34" t="s">
        <v>26</v>
      </c>
      <c r="K48" s="34" t="s">
        <v>20</v>
      </c>
      <c r="L48" s="34" t="s">
        <v>21</v>
      </c>
      <c r="M48" s="34" t="s">
        <v>22</v>
      </c>
      <c r="N48" s="34" t="s">
        <v>23</v>
      </c>
      <c r="O48" s="34" t="s">
        <v>24</v>
      </c>
      <c r="P48" s="34" t="s">
        <v>25</v>
      </c>
      <c r="Q48" s="34" t="s">
        <v>26</v>
      </c>
      <c r="R48" s="34" t="s">
        <v>20</v>
      </c>
      <c r="S48" s="34" t="s">
        <v>21</v>
      </c>
      <c r="T48" s="34" t="s">
        <v>22</v>
      </c>
      <c r="U48" s="34" t="s">
        <v>23</v>
      </c>
      <c r="V48" s="34" t="s">
        <v>24</v>
      </c>
      <c r="W48" s="34" t="s">
        <v>25</v>
      </c>
      <c r="X48" s="34" t="s">
        <v>26</v>
      </c>
      <c r="Y48" s="34" t="s">
        <v>20</v>
      </c>
      <c r="Z48" s="34" t="s">
        <v>21</v>
      </c>
      <c r="AA48" s="34" t="s">
        <v>22</v>
      </c>
      <c r="AB48" s="34" t="s">
        <v>23</v>
      </c>
      <c r="AC48" s="34" t="s">
        <v>24</v>
      </c>
      <c r="AD48" s="34" t="s">
        <v>25</v>
      </c>
      <c r="AE48" s="34" t="s">
        <v>26</v>
      </c>
      <c r="AF48" s="34"/>
      <c r="AG48" s="30"/>
      <c r="AH48" s="30"/>
      <c r="AI48" s="30"/>
      <c r="AJ48" s="20"/>
      <c r="AK48" s="20"/>
      <c r="AL48" s="20"/>
      <c r="AM48" s="20"/>
    </row>
    <row r="49">
      <c r="A49" s="35" t="s">
        <v>27</v>
      </c>
      <c r="B49" s="36">
        <v>44501.0</v>
      </c>
      <c r="C49" s="36">
        <v>44502.0</v>
      </c>
      <c r="D49" s="36">
        <v>44503.0</v>
      </c>
      <c r="E49" s="36">
        <v>44504.0</v>
      </c>
      <c r="F49" s="36">
        <v>44505.0</v>
      </c>
      <c r="G49" s="36">
        <v>44506.0</v>
      </c>
      <c r="H49" s="36">
        <v>44507.0</v>
      </c>
      <c r="I49" s="36">
        <v>44508.0</v>
      </c>
      <c r="J49" s="36">
        <v>44509.0</v>
      </c>
      <c r="K49" s="36">
        <v>44510.0</v>
      </c>
      <c r="L49" s="36">
        <v>44511.0</v>
      </c>
      <c r="M49" s="36">
        <v>44512.0</v>
      </c>
      <c r="N49" s="36">
        <v>44513.0</v>
      </c>
      <c r="O49" s="36">
        <v>44514.0</v>
      </c>
      <c r="P49" s="36">
        <v>44515.0</v>
      </c>
      <c r="Q49" s="36">
        <v>44516.0</v>
      </c>
      <c r="R49" s="36">
        <v>44517.0</v>
      </c>
      <c r="S49" s="36">
        <v>44518.0</v>
      </c>
      <c r="T49" s="36">
        <v>44519.0</v>
      </c>
      <c r="U49" s="36">
        <v>44520.0</v>
      </c>
      <c r="V49" s="36">
        <v>44521.0</v>
      </c>
      <c r="W49" s="36">
        <v>44522.0</v>
      </c>
      <c r="X49" s="36">
        <v>44523.0</v>
      </c>
      <c r="Y49" s="36">
        <v>44524.0</v>
      </c>
      <c r="Z49" s="36">
        <v>44525.0</v>
      </c>
      <c r="AA49" s="36">
        <v>44526.0</v>
      </c>
      <c r="AB49" s="36">
        <v>44527.0</v>
      </c>
      <c r="AC49" s="36">
        <v>44528.0</v>
      </c>
      <c r="AD49" s="36">
        <v>44529.0</v>
      </c>
      <c r="AE49" s="36">
        <v>44530.0</v>
      </c>
      <c r="AF49" s="48"/>
      <c r="AG49" s="37"/>
      <c r="AH49" s="37"/>
      <c r="AI49" s="37"/>
      <c r="AJ49" s="18"/>
      <c r="AK49" s="18"/>
      <c r="AL49" s="18"/>
      <c r="AM49" s="18"/>
    </row>
    <row r="50">
      <c r="A50" s="35" t="s">
        <v>28</v>
      </c>
      <c r="B50" s="38">
        <f>1.004*13508.74
</f>
        <v>13562.77496</v>
      </c>
      <c r="C50" s="38">
        <f>1.004*9209.62</f>
        <v>9246.45848</v>
      </c>
      <c r="D50" s="38">
        <f>1.004*14514.44</f>
        <v>14572.49776</v>
      </c>
      <c r="E50" s="38">
        <f>1.004*9645.58
</f>
        <v>9684.16232</v>
      </c>
      <c r="F50" s="38">
        <f>1.004*11265.56
</f>
        <v>11310.62224</v>
      </c>
      <c r="G50" s="38">
        <f>1.004*9767.92</f>
        <v>9806.99168</v>
      </c>
      <c r="H50" s="38">
        <f>1.004*10368.62</f>
        <v>10410.09448</v>
      </c>
      <c r="I50" s="38">
        <v>12653.52</v>
      </c>
      <c r="J50" s="38">
        <f>1.004*8620.44
</f>
        <v>8654.92176</v>
      </c>
      <c r="K50" s="38">
        <f>1.004*8306.79</f>
        <v>8340.01716</v>
      </c>
      <c r="L50" s="38">
        <f>1.004*6223.73
</f>
        <v>6248.62492</v>
      </c>
      <c r="M50" s="38">
        <f>1.004*6680.27
</f>
        <v>6706.99108</v>
      </c>
      <c r="N50" s="38">
        <f>1.004*6112.47
</f>
        <v>6136.91988</v>
      </c>
      <c r="O50" s="38">
        <f>1.004*3832.89</f>
        <v>3848.22156</v>
      </c>
      <c r="P50" s="38">
        <f>1.004*5066.75</f>
        <v>5087.017</v>
      </c>
      <c r="Q50" s="38">
        <f>1.004*5786.23
</f>
        <v>5809.37492</v>
      </c>
      <c r="R50" s="38">
        <f>1.004*6217.13</f>
        <v>6241.99852</v>
      </c>
      <c r="S50" s="38">
        <f>1.004*6668.02</f>
        <v>6694.69208</v>
      </c>
      <c r="T50" s="39">
        <f>1.004*6357.36
</f>
        <v>6382.78944</v>
      </c>
      <c r="U50" s="39">
        <f>1.004*4627.04
</f>
        <v>4645.54816</v>
      </c>
      <c r="V50" s="39">
        <f>1.004*6345.03</f>
        <v>6370.41012</v>
      </c>
      <c r="W50" s="38">
        <f>1.004*6646.09
</f>
        <v>6672.67436</v>
      </c>
      <c r="X50" s="39">
        <f>1.004*9161.4</f>
        <v>9198.0456</v>
      </c>
      <c r="Y50" s="39">
        <f>1.004*9340.46</f>
        <v>9377.82184</v>
      </c>
      <c r="Z50" s="38">
        <f>1.004*8372.69
</f>
        <v>8406.18076</v>
      </c>
      <c r="AA50" s="39">
        <f>1.004*7784.24</f>
        <v>7815.37696</v>
      </c>
      <c r="AB50" s="39">
        <f>1.004*9313.31</f>
        <v>9350.56324</v>
      </c>
      <c r="AC50" s="39">
        <f>1.004*6381.25
</f>
        <v>6406.775</v>
      </c>
      <c r="AD50" s="39">
        <f>1.004*6705.35</f>
        <v>6732.1714</v>
      </c>
      <c r="AE50" s="39">
        <f>1.004*5863.21</f>
        <v>5886.66284</v>
      </c>
      <c r="AF50" s="39"/>
      <c r="AG50" s="23"/>
      <c r="AH50" s="23"/>
      <c r="AI50" s="23"/>
      <c r="AJ50" s="40"/>
      <c r="AK50" s="40"/>
      <c r="AL50" s="40"/>
      <c r="AM50" s="40"/>
    </row>
    <row r="51">
      <c r="A51" s="35" t="s">
        <v>29</v>
      </c>
      <c r="B51" s="38">
        <v>2.0</v>
      </c>
      <c r="C51" s="38">
        <v>1.0</v>
      </c>
      <c r="D51" s="38">
        <v>2.0</v>
      </c>
      <c r="E51" s="38">
        <v>3.0</v>
      </c>
      <c r="F51" s="38">
        <v>5.0</v>
      </c>
      <c r="G51" s="38">
        <v>2.0</v>
      </c>
      <c r="H51" s="38">
        <v>3.0</v>
      </c>
      <c r="I51" s="38">
        <v>4.0</v>
      </c>
      <c r="J51" s="38">
        <v>1.0</v>
      </c>
      <c r="K51" s="38">
        <v>2.0</v>
      </c>
      <c r="L51" s="38">
        <v>1.0</v>
      </c>
      <c r="M51" s="38">
        <v>2.0</v>
      </c>
      <c r="N51" s="38">
        <v>1.0</v>
      </c>
      <c r="O51" s="38">
        <v>0.0</v>
      </c>
      <c r="P51" s="38">
        <v>1.0</v>
      </c>
      <c r="Q51" s="38">
        <v>0.0</v>
      </c>
      <c r="R51" s="38">
        <v>3.0</v>
      </c>
      <c r="S51" s="41">
        <v>3.0</v>
      </c>
      <c r="T51" s="41">
        <v>1.0</v>
      </c>
      <c r="U51" s="38">
        <v>1.0</v>
      </c>
      <c r="V51" s="38">
        <v>0.0</v>
      </c>
      <c r="W51" s="38">
        <v>1.0</v>
      </c>
      <c r="X51" s="38">
        <v>4.0</v>
      </c>
      <c r="Y51" s="38">
        <v>2.0</v>
      </c>
      <c r="Z51" s="38">
        <v>1.0</v>
      </c>
      <c r="AA51" s="38">
        <v>3.0</v>
      </c>
      <c r="AB51" s="38">
        <v>1.0</v>
      </c>
      <c r="AC51" s="38">
        <v>0.0</v>
      </c>
      <c r="AD51" s="38">
        <v>0.0</v>
      </c>
      <c r="AE51" s="38">
        <v>1.0</v>
      </c>
      <c r="AF51" s="39"/>
      <c r="AG51" s="23"/>
      <c r="AH51" s="23"/>
      <c r="AI51" s="23"/>
      <c r="AJ51" s="40"/>
      <c r="AK51" s="40"/>
      <c r="AL51" s="40"/>
      <c r="AM51" s="40"/>
    </row>
    <row r="52">
      <c r="A52" s="35" t="s">
        <v>30</v>
      </c>
      <c r="B52" s="39">
        <f t="shared" ref="B52:AE52" si="23">B50/B51</f>
        <v>6781.38748</v>
      </c>
      <c r="C52" s="39">
        <f t="shared" si="23"/>
        <v>9246.45848</v>
      </c>
      <c r="D52" s="39">
        <f t="shared" si="23"/>
        <v>7286.24888</v>
      </c>
      <c r="E52" s="39">
        <f t="shared" si="23"/>
        <v>3228.054107</v>
      </c>
      <c r="F52" s="39">
        <f t="shared" si="23"/>
        <v>2262.124448</v>
      </c>
      <c r="G52" s="39">
        <f t="shared" si="23"/>
        <v>4903.49584</v>
      </c>
      <c r="H52" s="39">
        <f t="shared" si="23"/>
        <v>3470.031493</v>
      </c>
      <c r="I52" s="39">
        <f t="shared" si="23"/>
        <v>3163.38</v>
      </c>
      <c r="J52" s="39">
        <f t="shared" si="23"/>
        <v>8654.92176</v>
      </c>
      <c r="K52" s="39">
        <f t="shared" si="23"/>
        <v>4170.00858</v>
      </c>
      <c r="L52" s="39">
        <f t="shared" si="23"/>
        <v>6248.62492</v>
      </c>
      <c r="M52" s="39">
        <f t="shared" si="23"/>
        <v>3353.49554</v>
      </c>
      <c r="N52" s="39">
        <f t="shared" si="23"/>
        <v>6136.91988</v>
      </c>
      <c r="O52" s="39" t="str">
        <f t="shared" si="23"/>
        <v>#DIV/0!</v>
      </c>
      <c r="P52" s="39">
        <f t="shared" si="23"/>
        <v>5087.017</v>
      </c>
      <c r="Q52" s="39" t="str">
        <f t="shared" si="23"/>
        <v>#DIV/0!</v>
      </c>
      <c r="R52" s="39">
        <f t="shared" si="23"/>
        <v>2080.666173</v>
      </c>
      <c r="S52" s="39">
        <f t="shared" si="23"/>
        <v>2231.564027</v>
      </c>
      <c r="T52" s="39">
        <f t="shared" si="23"/>
        <v>6382.78944</v>
      </c>
      <c r="U52" s="39">
        <f t="shared" si="23"/>
        <v>4645.54816</v>
      </c>
      <c r="V52" s="39" t="str">
        <f t="shared" si="23"/>
        <v>#DIV/0!</v>
      </c>
      <c r="W52" s="39">
        <f t="shared" si="23"/>
        <v>6672.67436</v>
      </c>
      <c r="X52" s="39">
        <f t="shared" si="23"/>
        <v>2299.5114</v>
      </c>
      <c r="Y52" s="39">
        <f t="shared" si="23"/>
        <v>4688.91092</v>
      </c>
      <c r="Z52" s="39">
        <f t="shared" si="23"/>
        <v>8406.18076</v>
      </c>
      <c r="AA52" s="39">
        <f t="shared" si="23"/>
        <v>2605.125653</v>
      </c>
      <c r="AB52" s="39">
        <f t="shared" si="23"/>
        <v>9350.56324</v>
      </c>
      <c r="AC52" s="39" t="str">
        <f t="shared" si="23"/>
        <v>#DIV/0!</v>
      </c>
      <c r="AD52" s="39" t="str">
        <f t="shared" si="23"/>
        <v>#DIV/0!</v>
      </c>
      <c r="AE52" s="39">
        <f t="shared" si="23"/>
        <v>5886.66284</v>
      </c>
      <c r="AF52" s="39"/>
      <c r="AG52" s="23"/>
      <c r="AH52" s="23"/>
      <c r="AI52" s="23"/>
      <c r="AJ52" s="40"/>
      <c r="AK52" s="40"/>
      <c r="AL52" s="40"/>
      <c r="AM52" s="40"/>
    </row>
    <row r="53">
      <c r="A53" s="42"/>
      <c r="B53" s="43"/>
      <c r="C53" s="44"/>
      <c r="D53" s="44"/>
      <c r="E53" s="44"/>
      <c r="F53" s="44"/>
      <c r="G53" s="44"/>
      <c r="H53" s="44"/>
      <c r="I53" s="44"/>
      <c r="J53" s="44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20"/>
      <c r="AK53" s="20"/>
      <c r="AL53" s="20"/>
      <c r="AM53" s="20"/>
    </row>
    <row r="54">
      <c r="A54" s="26" t="s">
        <v>40</v>
      </c>
      <c r="B54" s="27" t="s">
        <v>1</v>
      </c>
      <c r="C54" s="28" t="s">
        <v>2</v>
      </c>
      <c r="D54" s="28" t="s">
        <v>3</v>
      </c>
      <c r="E54" s="28" t="s">
        <v>4</v>
      </c>
      <c r="F54" s="29" t="s">
        <v>5</v>
      </c>
      <c r="G54" s="29" t="s">
        <v>6</v>
      </c>
      <c r="H54" s="28" t="s">
        <v>7</v>
      </c>
      <c r="I54" s="28" t="s">
        <v>8</v>
      </c>
      <c r="J54" s="28" t="s">
        <v>9</v>
      </c>
      <c r="K54" s="28" t="s">
        <v>10</v>
      </c>
      <c r="L54" s="28" t="s">
        <v>11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0"/>
      <c r="AK54" s="20"/>
      <c r="AL54" s="20"/>
      <c r="AM54" s="20"/>
    </row>
    <row r="55">
      <c r="A55" s="7" t="s">
        <v>12</v>
      </c>
      <c r="B55" s="8">
        <v>30.0</v>
      </c>
      <c r="C55" s="9">
        <f>SUM(B61:AF61)</f>
        <v>39</v>
      </c>
      <c r="D55" s="10">
        <f t="shared" ref="D55:D57" si="25">C55/B55</f>
        <v>1.3</v>
      </c>
      <c r="E55" s="19">
        <f>B55-C55</f>
        <v>-9</v>
      </c>
      <c r="F55" s="9">
        <f>C55/AJ55*AK55</f>
        <v>172.7142857</v>
      </c>
      <c r="G55" s="45">
        <f t="shared" ref="G55:G57" si="26">F55/B55</f>
        <v>5.757142857</v>
      </c>
      <c r="H55" s="9">
        <f>F55-B55</f>
        <v>142.7142857</v>
      </c>
      <c r="I55" s="19">
        <f>E55/(AK55-AJ55)</f>
        <v>-0.375</v>
      </c>
      <c r="J55" s="12">
        <f>B55/AK55</f>
        <v>0.9677419355</v>
      </c>
      <c r="K55" s="46">
        <f>C55/AJ39</f>
        <v>5.571428571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>
        <f>AK56</f>
        <v>7</v>
      </c>
      <c r="AK55" s="14" t="str">
        <f>AM55</f>
        <v>31</v>
      </c>
      <c r="AL55" s="15">
        <f>DATE(YEAR(TODAY()),MONTH(TODAY())+1,1)-1</f>
        <v>44561</v>
      </c>
      <c r="AM55" s="14" t="str">
        <f>LEFT(AL55, 2)</f>
        <v>31</v>
      </c>
    </row>
    <row r="56">
      <c r="A56" s="7" t="s">
        <v>13</v>
      </c>
      <c r="B56" s="8">
        <f t="shared" ref="B56:C56" si="24">B57/B55</f>
        <v>3426.4</v>
      </c>
      <c r="C56" s="9">
        <f t="shared" si="24"/>
        <v>2567.970445</v>
      </c>
      <c r="D56" s="10">
        <f t="shared" si="25"/>
        <v>0.7494660417</v>
      </c>
      <c r="E56" s="12"/>
      <c r="F56" s="9">
        <f>F57/F55</f>
        <v>2567.970445</v>
      </c>
      <c r="G56" s="45">
        <f t="shared" si="26"/>
        <v>0.7494660417</v>
      </c>
      <c r="H56" s="13"/>
      <c r="I56" s="9"/>
      <c r="J56" s="13"/>
      <c r="K56" s="12"/>
      <c r="L56" s="13"/>
      <c r="M56" s="13"/>
      <c r="N56" s="13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17">
        <f>TODAY()</f>
        <v>44538</v>
      </c>
      <c r="AK56" s="14">
        <f>LEFT(AJ56, 2)-1</f>
        <v>7</v>
      </c>
      <c r="AL56" s="18"/>
      <c r="AM56" s="18"/>
    </row>
    <row r="57">
      <c r="A57" s="7" t="s">
        <v>14</v>
      </c>
      <c r="B57" s="8">
        <v>102792.0</v>
      </c>
      <c r="C57" s="9">
        <f>SUM(B60:AF60)</f>
        <v>100150.8474</v>
      </c>
      <c r="D57" s="10">
        <f t="shared" si="25"/>
        <v>0.9743058542</v>
      </c>
      <c r="E57" s="9">
        <f>B57-C57</f>
        <v>2641.15264</v>
      </c>
      <c r="F57" s="9">
        <f>C57/AJ55*AK55</f>
        <v>443525.1812</v>
      </c>
      <c r="G57" s="45">
        <f t="shared" si="26"/>
        <v>4.314783068</v>
      </c>
      <c r="H57" s="9">
        <f>F57-B57</f>
        <v>340733.1812</v>
      </c>
      <c r="I57" s="9">
        <f>E57/(AK55-AJ55)</f>
        <v>110.0480267</v>
      </c>
      <c r="J57" s="19">
        <f>B57/AK55</f>
        <v>3315.870968</v>
      </c>
      <c r="K57" s="47">
        <f>C57/AJ39</f>
        <v>14307.26391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20"/>
      <c r="AK57" s="20"/>
      <c r="AL57" s="20"/>
      <c r="AM57" s="20"/>
    </row>
    <row r="58">
      <c r="A58" s="33" t="s">
        <v>41</v>
      </c>
      <c r="B58" s="34" t="s">
        <v>25</v>
      </c>
      <c r="C58" s="34" t="s">
        <v>26</v>
      </c>
      <c r="D58" s="34" t="s">
        <v>20</v>
      </c>
      <c r="E58" s="34" t="s">
        <v>21</v>
      </c>
      <c r="F58" s="34" t="s">
        <v>22</v>
      </c>
      <c r="G58" s="34" t="s">
        <v>23</v>
      </c>
      <c r="H58" s="34" t="s">
        <v>24</v>
      </c>
      <c r="I58" s="34" t="s">
        <v>25</v>
      </c>
      <c r="J58" s="34" t="s">
        <v>26</v>
      </c>
      <c r="K58" s="34" t="s">
        <v>20</v>
      </c>
      <c r="L58" s="34" t="s">
        <v>21</v>
      </c>
      <c r="M58" s="34" t="s">
        <v>22</v>
      </c>
      <c r="N58" s="34" t="s">
        <v>23</v>
      </c>
      <c r="O58" s="34" t="s">
        <v>24</v>
      </c>
      <c r="P58" s="34" t="s">
        <v>25</v>
      </c>
      <c r="Q58" s="34" t="s">
        <v>26</v>
      </c>
      <c r="R58" s="34" t="s">
        <v>20</v>
      </c>
      <c r="S58" s="34" t="s">
        <v>21</v>
      </c>
      <c r="T58" s="34" t="s">
        <v>22</v>
      </c>
      <c r="U58" s="34" t="s">
        <v>23</v>
      </c>
      <c r="V58" s="34" t="s">
        <v>24</v>
      </c>
      <c r="W58" s="34" t="s">
        <v>25</v>
      </c>
      <c r="X58" s="34" t="s">
        <v>26</v>
      </c>
      <c r="Y58" s="34" t="s">
        <v>20</v>
      </c>
      <c r="Z58" s="34" t="s">
        <v>21</v>
      </c>
      <c r="AA58" s="34" t="s">
        <v>22</v>
      </c>
      <c r="AB58" s="34" t="s">
        <v>23</v>
      </c>
      <c r="AC58" s="34" t="s">
        <v>24</v>
      </c>
      <c r="AD58" s="34" t="s">
        <v>25</v>
      </c>
      <c r="AE58" s="34" t="s">
        <v>26</v>
      </c>
      <c r="AF58" s="34"/>
      <c r="AG58" s="30"/>
      <c r="AH58" s="30"/>
      <c r="AI58" s="30"/>
      <c r="AJ58" s="20"/>
      <c r="AK58" s="20"/>
      <c r="AL58" s="20"/>
      <c r="AM58" s="20"/>
    </row>
    <row r="59">
      <c r="A59" s="35" t="s">
        <v>27</v>
      </c>
      <c r="B59" s="36">
        <v>44501.0</v>
      </c>
      <c r="C59" s="36">
        <v>44502.0</v>
      </c>
      <c r="D59" s="36">
        <v>44503.0</v>
      </c>
      <c r="E59" s="36">
        <v>44504.0</v>
      </c>
      <c r="F59" s="36">
        <v>44505.0</v>
      </c>
      <c r="G59" s="36">
        <v>44506.0</v>
      </c>
      <c r="H59" s="36">
        <v>44507.0</v>
      </c>
      <c r="I59" s="36">
        <v>44508.0</v>
      </c>
      <c r="J59" s="36">
        <v>44509.0</v>
      </c>
      <c r="K59" s="36">
        <v>44510.0</v>
      </c>
      <c r="L59" s="36">
        <v>44511.0</v>
      </c>
      <c r="M59" s="36">
        <v>44512.0</v>
      </c>
      <c r="N59" s="36">
        <v>44513.0</v>
      </c>
      <c r="O59" s="36">
        <v>44514.0</v>
      </c>
      <c r="P59" s="36">
        <v>44515.0</v>
      </c>
      <c r="Q59" s="36">
        <v>44516.0</v>
      </c>
      <c r="R59" s="36">
        <v>44517.0</v>
      </c>
      <c r="S59" s="36">
        <v>44518.0</v>
      </c>
      <c r="T59" s="36">
        <v>44519.0</v>
      </c>
      <c r="U59" s="36">
        <v>44520.0</v>
      </c>
      <c r="V59" s="36">
        <v>44521.0</v>
      </c>
      <c r="W59" s="36">
        <v>44522.0</v>
      </c>
      <c r="X59" s="36">
        <v>44523.0</v>
      </c>
      <c r="Y59" s="36">
        <v>44524.0</v>
      </c>
      <c r="Z59" s="36">
        <v>44525.0</v>
      </c>
      <c r="AA59" s="36">
        <v>44526.0</v>
      </c>
      <c r="AB59" s="36">
        <v>44527.0</v>
      </c>
      <c r="AC59" s="36">
        <v>44528.0</v>
      </c>
      <c r="AD59" s="36">
        <v>44529.0</v>
      </c>
      <c r="AE59" s="36">
        <v>44530.0</v>
      </c>
      <c r="AF59" s="48"/>
      <c r="AG59" s="37"/>
      <c r="AH59" s="37"/>
      <c r="AI59" s="37"/>
      <c r="AJ59" s="18"/>
      <c r="AK59" s="18"/>
      <c r="AL59" s="18"/>
      <c r="AM59" s="18"/>
    </row>
    <row r="60">
      <c r="A60" s="49" t="s">
        <v>28</v>
      </c>
      <c r="B60" s="38">
        <f>1.004*2880</f>
        <v>2891.52</v>
      </c>
      <c r="C60" s="38">
        <f>1.004*2893.12
</f>
        <v>2904.69248</v>
      </c>
      <c r="D60" s="38">
        <v>0.0</v>
      </c>
      <c r="E60" s="38">
        <f>1.004*8700</f>
        <v>8734.8</v>
      </c>
      <c r="F60" s="38">
        <f>1.004*5773.12</f>
        <v>5796.21248</v>
      </c>
      <c r="G60" s="38">
        <v>0.0</v>
      </c>
      <c r="H60" s="38">
        <f>1.004*2893.12
</f>
        <v>2904.69248</v>
      </c>
      <c r="I60" s="38">
        <f>1.004*8666.23</f>
        <v>8700.89492</v>
      </c>
      <c r="J60" s="38">
        <f t="shared" ref="J60:K60" si="27">1.004*5786.23
</f>
        <v>5809.37492</v>
      </c>
      <c r="K60" s="38">
        <f t="shared" si="27"/>
        <v>5809.37492</v>
      </c>
      <c r="L60" s="38">
        <f>1.004*5773.12</f>
        <v>5796.21248</v>
      </c>
      <c r="M60" s="38">
        <f>1.004*3000</f>
        <v>3012</v>
      </c>
      <c r="N60" s="38">
        <f>1.004*748.19</f>
        <v>751.18276</v>
      </c>
      <c r="O60" s="38">
        <f>1.004*5820
</f>
        <v>5843.28</v>
      </c>
      <c r="P60" s="38">
        <f>1.004*2893.12
</f>
        <v>2904.69248</v>
      </c>
      <c r="Q60" s="38">
        <f>1.004*8820
</f>
        <v>8855.28</v>
      </c>
      <c r="R60" s="38">
        <v>0.0</v>
      </c>
      <c r="S60" s="53">
        <f>1.004*8893.12
</f>
        <v>8928.69248</v>
      </c>
      <c r="T60" s="38">
        <f>1.004*2940</f>
        <v>2951.76</v>
      </c>
      <c r="U60" s="38">
        <v>0.0</v>
      </c>
      <c r="V60" s="38">
        <f>1.004*3000</f>
        <v>3012</v>
      </c>
      <c r="W60" s="38">
        <v>0.0</v>
      </c>
      <c r="X60" s="38">
        <f>1.004*5833.12
</f>
        <v>5856.45248</v>
      </c>
      <c r="Y60" s="38">
        <f>1.004*5773.12</f>
        <v>5796.21248</v>
      </c>
      <c r="Z60" s="38">
        <v>0.0</v>
      </c>
      <c r="AA60" s="38">
        <f>1.004*2880</f>
        <v>2891.52</v>
      </c>
      <c r="AB60" s="38">
        <v>0.0</v>
      </c>
      <c r="AC60" s="38">
        <v>0.0</v>
      </c>
      <c r="AD60" s="38">
        <v>0.0</v>
      </c>
      <c r="AE60" s="38">
        <v>0.0</v>
      </c>
      <c r="AF60" s="38"/>
      <c r="AG60" s="51"/>
      <c r="AH60" s="51"/>
      <c r="AI60" s="51"/>
      <c r="AJ60" s="20"/>
      <c r="AK60" s="20"/>
      <c r="AL60" s="20"/>
      <c r="AM60" s="20"/>
    </row>
    <row r="61">
      <c r="A61" s="49" t="s">
        <v>29</v>
      </c>
      <c r="B61" s="38">
        <v>1.0</v>
      </c>
      <c r="C61" s="38">
        <v>1.0</v>
      </c>
      <c r="D61" s="38">
        <v>0.0</v>
      </c>
      <c r="E61" s="38">
        <v>2.0</v>
      </c>
      <c r="F61" s="38">
        <v>2.0</v>
      </c>
      <c r="G61" s="38">
        <v>0.0</v>
      </c>
      <c r="H61" s="38">
        <v>1.0</v>
      </c>
      <c r="I61" s="38">
        <v>2.0</v>
      </c>
      <c r="J61" s="38">
        <v>2.0</v>
      </c>
      <c r="K61" s="38">
        <v>1.0</v>
      </c>
      <c r="L61" s="38">
        <v>1.0</v>
      </c>
      <c r="M61" s="38">
        <v>1.0</v>
      </c>
      <c r="N61" s="38">
        <v>2.0</v>
      </c>
      <c r="O61" s="38">
        <v>3.0</v>
      </c>
      <c r="P61" s="38">
        <v>1.0</v>
      </c>
      <c r="Q61" s="38">
        <v>4.0</v>
      </c>
      <c r="R61" s="38">
        <v>2.0</v>
      </c>
      <c r="S61" s="38">
        <v>3.0</v>
      </c>
      <c r="T61" s="38">
        <v>0.0</v>
      </c>
      <c r="U61" s="38">
        <v>1.0</v>
      </c>
      <c r="V61" s="38">
        <v>0.0</v>
      </c>
      <c r="W61" s="38">
        <v>1.0</v>
      </c>
      <c r="X61" s="38">
        <v>3.0</v>
      </c>
      <c r="Y61" s="38">
        <v>2.0</v>
      </c>
      <c r="Z61" s="38">
        <v>0.0</v>
      </c>
      <c r="AA61" s="38">
        <v>1.0</v>
      </c>
      <c r="AB61" s="52">
        <v>1.0</v>
      </c>
      <c r="AC61" s="38">
        <v>1.0</v>
      </c>
      <c r="AD61" s="38">
        <v>0.0</v>
      </c>
      <c r="AE61" s="38">
        <v>0.0</v>
      </c>
      <c r="AF61" s="52"/>
      <c r="AG61" s="51"/>
      <c r="AH61" s="51"/>
      <c r="AI61" s="51"/>
      <c r="AJ61" s="20"/>
      <c r="AK61" s="20"/>
      <c r="AL61" s="20"/>
      <c r="AM61" s="20"/>
    </row>
    <row r="62">
      <c r="A62" s="35" t="s">
        <v>30</v>
      </c>
      <c r="B62" s="53">
        <f t="shared" ref="B62:P62" si="28">B60/B61</f>
        <v>2891.52</v>
      </c>
      <c r="C62" s="53">
        <f t="shared" si="28"/>
        <v>2904.69248</v>
      </c>
      <c r="D62" s="53" t="str">
        <f t="shared" si="28"/>
        <v>#DIV/0!</v>
      </c>
      <c r="E62" s="53">
        <f t="shared" si="28"/>
        <v>4367.4</v>
      </c>
      <c r="F62" s="53">
        <f t="shared" si="28"/>
        <v>2898.10624</v>
      </c>
      <c r="G62" s="53" t="str">
        <f t="shared" si="28"/>
        <v>#DIV/0!</v>
      </c>
      <c r="H62" s="53">
        <f t="shared" si="28"/>
        <v>2904.69248</v>
      </c>
      <c r="I62" s="53">
        <f t="shared" si="28"/>
        <v>4350.44746</v>
      </c>
      <c r="J62" s="53">
        <f t="shared" si="28"/>
        <v>2904.68746</v>
      </c>
      <c r="K62" s="53">
        <f t="shared" si="28"/>
        <v>5809.37492</v>
      </c>
      <c r="L62" s="53">
        <f t="shared" si="28"/>
        <v>5796.21248</v>
      </c>
      <c r="M62" s="53">
        <f t="shared" si="28"/>
        <v>3012</v>
      </c>
      <c r="N62" s="53">
        <f t="shared" si="28"/>
        <v>375.59138</v>
      </c>
      <c r="O62" s="53">
        <f t="shared" si="28"/>
        <v>1947.76</v>
      </c>
      <c r="P62" s="53">
        <f t="shared" si="28"/>
        <v>2904.69248</v>
      </c>
      <c r="Q62" s="53">
        <f>Q50/Q61</f>
        <v>1452.34373</v>
      </c>
      <c r="R62" s="53">
        <f t="shared" ref="R62:AE62" si="29">R60/R61</f>
        <v>0</v>
      </c>
      <c r="S62" s="53">
        <f t="shared" si="29"/>
        <v>2976.230827</v>
      </c>
      <c r="T62" s="53" t="str">
        <f t="shared" si="29"/>
        <v>#DIV/0!</v>
      </c>
      <c r="U62" s="53">
        <f t="shared" si="29"/>
        <v>0</v>
      </c>
      <c r="V62" s="53" t="str">
        <f t="shared" si="29"/>
        <v>#DIV/0!</v>
      </c>
      <c r="W62" s="53">
        <f t="shared" si="29"/>
        <v>0</v>
      </c>
      <c r="X62" s="53">
        <f t="shared" si="29"/>
        <v>1952.150827</v>
      </c>
      <c r="Y62" s="53">
        <f t="shared" si="29"/>
        <v>2898.10624</v>
      </c>
      <c r="Z62" s="53" t="str">
        <f t="shared" si="29"/>
        <v>#DIV/0!</v>
      </c>
      <c r="AA62" s="53">
        <f t="shared" si="29"/>
        <v>2891.52</v>
      </c>
      <c r="AB62" s="53">
        <f t="shared" si="29"/>
        <v>0</v>
      </c>
      <c r="AC62" s="53">
        <f t="shared" si="29"/>
        <v>0</v>
      </c>
      <c r="AD62" s="53" t="str">
        <f t="shared" si="29"/>
        <v>#DIV/0!</v>
      </c>
      <c r="AE62" s="53" t="str">
        <f t="shared" si="29"/>
        <v>#DIV/0!</v>
      </c>
      <c r="AF62" s="54"/>
      <c r="AG62" s="55"/>
      <c r="AH62" s="55"/>
      <c r="AI62" s="55"/>
      <c r="AJ62" s="40"/>
      <c r="AK62" s="40"/>
      <c r="AL62" s="40"/>
      <c r="AM62" s="40"/>
    </row>
    <row r="63">
      <c r="A63" s="42"/>
      <c r="B63" s="43"/>
      <c r="C63" s="43"/>
      <c r="D63" s="43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0"/>
      <c r="AK63" s="40"/>
      <c r="AL63" s="40"/>
      <c r="AM63" s="40"/>
    </row>
    <row r="64">
      <c r="A64" s="26" t="s">
        <v>42</v>
      </c>
      <c r="B64" s="27" t="s">
        <v>1</v>
      </c>
      <c r="C64" s="28" t="s">
        <v>2</v>
      </c>
      <c r="D64" s="28" t="s">
        <v>3</v>
      </c>
      <c r="E64" s="28" t="s">
        <v>4</v>
      </c>
      <c r="F64" s="28" t="s">
        <v>34</v>
      </c>
      <c r="G64" s="29" t="s">
        <v>6</v>
      </c>
      <c r="H64" s="28" t="s">
        <v>7</v>
      </c>
      <c r="I64" s="29" t="s">
        <v>8</v>
      </c>
      <c r="J64" s="28" t="s">
        <v>9</v>
      </c>
      <c r="K64" s="29" t="s">
        <v>10</v>
      </c>
      <c r="L64" s="28" t="s">
        <v>11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0"/>
      <c r="AK64" s="20"/>
      <c r="AL64" s="20"/>
      <c r="AM64" s="20"/>
    </row>
    <row r="65">
      <c r="A65" s="7" t="s">
        <v>12</v>
      </c>
      <c r="B65" s="8">
        <v>60.0</v>
      </c>
      <c r="C65" s="9">
        <f>SUM(B71:AF71)</f>
        <v>59</v>
      </c>
      <c r="D65" s="10">
        <f>C65/B65</f>
        <v>0.9833333333</v>
      </c>
      <c r="E65" s="19">
        <f>B65-C65</f>
        <v>1</v>
      </c>
      <c r="F65" s="9">
        <f>C65/AJ65*AK65</f>
        <v>261.2857143</v>
      </c>
      <c r="G65" s="45">
        <f t="shared" ref="G65:G67" si="31">F65/B65</f>
        <v>4.354761905</v>
      </c>
      <c r="H65" s="9">
        <f>F65-B65</f>
        <v>201.2857143</v>
      </c>
      <c r="I65" s="19">
        <f>E65/(AK65-AJ65)</f>
        <v>0.04166666667</v>
      </c>
      <c r="J65" s="12">
        <f>B65/AK55</f>
        <v>1.935483871</v>
      </c>
      <c r="K65" s="12">
        <f>C65/AJ39</f>
        <v>8.428571429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4">
        <f>AK66</f>
        <v>7</v>
      </c>
      <c r="AK65" s="14" t="str">
        <f>AM65</f>
        <v>31</v>
      </c>
      <c r="AL65" s="15">
        <f>DATE(YEAR(TODAY()),MONTH(TODAY())+1,1)-1</f>
        <v>44561</v>
      </c>
      <c r="AM65" s="14" t="str">
        <f>LEFT(AL65, 2)</f>
        <v>31</v>
      </c>
    </row>
    <row r="66">
      <c r="A66" s="7" t="s">
        <v>13</v>
      </c>
      <c r="B66" s="8">
        <f t="shared" ref="B66:D66" si="30">B67/B65</f>
        <v>4070.116667</v>
      </c>
      <c r="C66" s="56">
        <f t="shared" si="30"/>
        <v>4127.266343</v>
      </c>
      <c r="D66" s="10">
        <f t="shared" si="30"/>
        <v>1.014041287</v>
      </c>
      <c r="E66" s="13"/>
      <c r="F66" s="9">
        <f>F67/F65</f>
        <v>4127.266343</v>
      </c>
      <c r="G66" s="45">
        <f t="shared" si="31"/>
        <v>1.014041287</v>
      </c>
      <c r="H66" s="13"/>
      <c r="I66" s="9"/>
      <c r="J66" s="13"/>
      <c r="K66" s="13"/>
      <c r="L66" s="13"/>
      <c r="M66" s="13"/>
      <c r="N66" s="13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17">
        <f>TODAY()</f>
        <v>44538</v>
      </c>
      <c r="AK66" s="14">
        <f>LEFT(AJ66, 2)-1</f>
        <v>7</v>
      </c>
      <c r="AL66" s="18"/>
      <c r="AM66" s="18"/>
    </row>
    <row r="67">
      <c r="A67" s="7" t="s">
        <v>14</v>
      </c>
      <c r="B67" s="8">
        <v>244207.0</v>
      </c>
      <c r="C67" s="9">
        <f>SUM(B70:AF70)</f>
        <v>243508.7142</v>
      </c>
      <c r="D67" s="10">
        <f>C67/B67</f>
        <v>0.9971405989</v>
      </c>
      <c r="E67" s="9">
        <f>B67-C67</f>
        <v>698.28576</v>
      </c>
      <c r="F67" s="9">
        <f>C67/AJ65*AK65</f>
        <v>1078395.734</v>
      </c>
      <c r="G67" s="45">
        <f t="shared" si="31"/>
        <v>4.415908367</v>
      </c>
      <c r="H67" s="9">
        <f>F67-B67</f>
        <v>834188.7345</v>
      </c>
      <c r="I67" s="9">
        <f>E67/(AK65-AJ65)</f>
        <v>29.09524</v>
      </c>
      <c r="J67" s="19">
        <f>B67/AK55</f>
        <v>7877.645161</v>
      </c>
      <c r="K67" s="12">
        <f>C67/AJ39</f>
        <v>34786.95918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20"/>
      <c r="AK67" s="20"/>
      <c r="AL67" s="20"/>
      <c r="AM67" s="20"/>
    </row>
    <row r="68">
      <c r="A68" s="33" t="s">
        <v>43</v>
      </c>
      <c r="B68" s="34" t="s">
        <v>25</v>
      </c>
      <c r="C68" s="34" t="s">
        <v>26</v>
      </c>
      <c r="D68" s="34" t="s">
        <v>20</v>
      </c>
      <c r="E68" s="34" t="s">
        <v>21</v>
      </c>
      <c r="F68" s="34" t="s">
        <v>22</v>
      </c>
      <c r="G68" s="34" t="s">
        <v>23</v>
      </c>
      <c r="H68" s="34" t="s">
        <v>24</v>
      </c>
      <c r="I68" s="34" t="s">
        <v>25</v>
      </c>
      <c r="J68" s="34" t="s">
        <v>26</v>
      </c>
      <c r="K68" s="34" t="s">
        <v>20</v>
      </c>
      <c r="L68" s="34" t="s">
        <v>21</v>
      </c>
      <c r="M68" s="34" t="s">
        <v>22</v>
      </c>
      <c r="N68" s="34" t="s">
        <v>23</v>
      </c>
      <c r="O68" s="34" t="s">
        <v>24</v>
      </c>
      <c r="P68" s="34" t="s">
        <v>25</v>
      </c>
      <c r="Q68" s="34" t="s">
        <v>26</v>
      </c>
      <c r="R68" s="34" t="s">
        <v>20</v>
      </c>
      <c r="S68" s="34" t="s">
        <v>21</v>
      </c>
      <c r="T68" s="34" t="s">
        <v>22</v>
      </c>
      <c r="U68" s="34" t="s">
        <v>23</v>
      </c>
      <c r="V68" s="34" t="s">
        <v>24</v>
      </c>
      <c r="W68" s="34" t="s">
        <v>25</v>
      </c>
      <c r="X68" s="34" t="s">
        <v>26</v>
      </c>
      <c r="Y68" s="34" t="s">
        <v>20</v>
      </c>
      <c r="Z68" s="34" t="s">
        <v>21</v>
      </c>
      <c r="AA68" s="34" t="s">
        <v>22</v>
      </c>
      <c r="AB68" s="34" t="s">
        <v>23</v>
      </c>
      <c r="AC68" s="34" t="s">
        <v>24</v>
      </c>
      <c r="AD68" s="34" t="s">
        <v>25</v>
      </c>
      <c r="AE68" s="34" t="s">
        <v>26</v>
      </c>
      <c r="AF68" s="34"/>
      <c r="AG68" s="30"/>
      <c r="AH68" s="30"/>
      <c r="AI68" s="30"/>
      <c r="AJ68" s="20"/>
      <c r="AK68" s="20"/>
      <c r="AL68" s="20"/>
      <c r="AM68" s="20"/>
    </row>
    <row r="69">
      <c r="A69" s="35" t="s">
        <v>27</v>
      </c>
      <c r="B69" s="36">
        <v>44501.0</v>
      </c>
      <c r="C69" s="36">
        <v>44502.0</v>
      </c>
      <c r="D69" s="36">
        <v>44503.0</v>
      </c>
      <c r="E69" s="36">
        <v>44504.0</v>
      </c>
      <c r="F69" s="36">
        <v>44505.0</v>
      </c>
      <c r="G69" s="36">
        <v>44506.0</v>
      </c>
      <c r="H69" s="36">
        <v>44507.0</v>
      </c>
      <c r="I69" s="36">
        <v>44508.0</v>
      </c>
      <c r="J69" s="36">
        <v>44509.0</v>
      </c>
      <c r="K69" s="36">
        <v>44510.0</v>
      </c>
      <c r="L69" s="36">
        <v>44511.0</v>
      </c>
      <c r="M69" s="36">
        <v>44512.0</v>
      </c>
      <c r="N69" s="36">
        <v>44513.0</v>
      </c>
      <c r="O69" s="36">
        <v>44514.0</v>
      </c>
      <c r="P69" s="36">
        <v>44515.0</v>
      </c>
      <c r="Q69" s="36">
        <v>44516.0</v>
      </c>
      <c r="R69" s="36">
        <v>44517.0</v>
      </c>
      <c r="S69" s="36">
        <v>44518.0</v>
      </c>
      <c r="T69" s="36">
        <v>44519.0</v>
      </c>
      <c r="U69" s="36">
        <v>44520.0</v>
      </c>
      <c r="V69" s="36">
        <v>44521.0</v>
      </c>
      <c r="W69" s="36">
        <v>44522.0</v>
      </c>
      <c r="X69" s="36">
        <v>44523.0</v>
      </c>
      <c r="Y69" s="36">
        <v>44524.0</v>
      </c>
      <c r="Z69" s="36">
        <v>44525.0</v>
      </c>
      <c r="AA69" s="36">
        <v>44526.0</v>
      </c>
      <c r="AB69" s="36">
        <v>44527.0</v>
      </c>
      <c r="AC69" s="36">
        <v>44528.0</v>
      </c>
      <c r="AD69" s="36">
        <v>44529.0</v>
      </c>
      <c r="AE69" s="36">
        <v>44530.0</v>
      </c>
      <c r="AF69" s="48"/>
      <c r="AG69" s="37"/>
      <c r="AH69" s="37"/>
      <c r="AI69" s="37"/>
      <c r="AJ69" s="18"/>
      <c r="AK69" s="18"/>
      <c r="AL69" s="18"/>
      <c r="AM69" s="18"/>
    </row>
    <row r="70">
      <c r="A70" s="49" t="s">
        <v>28</v>
      </c>
      <c r="B70" s="38">
        <f>1.004*11572.68
</f>
        <v>11618.97072</v>
      </c>
      <c r="C70" s="38">
        <f>1.004*7078.62</f>
        <v>7106.93448</v>
      </c>
      <c r="D70" s="38">
        <f>1.004*8875.85</f>
        <v>8911.3534</v>
      </c>
      <c r="E70" s="38">
        <f>1.004*7697.24</f>
        <v>7728.02896</v>
      </c>
      <c r="F70" s="38">
        <f>1.004*6260.56
</f>
        <v>6285.60224</v>
      </c>
      <c r="G70" s="41">
        <f>1.004*7547.6
</f>
        <v>7577.7904</v>
      </c>
      <c r="H70" s="41">
        <f>1.004*6163.69
</f>
        <v>6188.34476</v>
      </c>
      <c r="I70" s="41">
        <f>1.004*11203.52</f>
        <v>11248.33408</v>
      </c>
      <c r="J70" s="41">
        <f>1.004*11023.68</f>
        <v>11067.77472</v>
      </c>
      <c r="K70" s="41">
        <f>1.004*9655.16
</f>
        <v>9693.78064</v>
      </c>
      <c r="L70" s="41">
        <f>1.004*7725.18</f>
        <v>7756.08072</v>
      </c>
      <c r="M70" s="41">
        <f>1.004*8187.84
</f>
        <v>8220.59136</v>
      </c>
      <c r="N70" s="41">
        <f>1.004*8156.92
</f>
        <v>8189.54768</v>
      </c>
      <c r="O70" s="41">
        <f>1.004*8196.07</f>
        <v>8228.85428</v>
      </c>
      <c r="P70" s="41">
        <f>1.004*10577.75</f>
        <v>10620.061</v>
      </c>
      <c r="Q70" s="41">
        <f>1.004*9584.24 </f>
        <v>9622.57696</v>
      </c>
      <c r="R70" s="41">
        <f>1.004*11220.29</f>
        <v>11265.17116</v>
      </c>
      <c r="S70" s="53">
        <f>1.004*7698.13</f>
        <v>7728.92252</v>
      </c>
      <c r="T70" s="53">
        <f>1.004*5410.19
</f>
        <v>5431.83076</v>
      </c>
      <c r="U70" s="53">
        <f>1.004*7404.01</f>
        <v>7433.62604</v>
      </c>
      <c r="V70" s="53">
        <f>1.004*4668.77
</f>
        <v>4687.44508</v>
      </c>
      <c r="W70" s="53">
        <f>1.004*7256.42
</f>
        <v>7285.44568</v>
      </c>
      <c r="X70" s="53">
        <f>1.004*9046.39
</f>
        <v>9082.57556</v>
      </c>
      <c r="Y70" s="41">
        <f>1.004*11581.44</f>
        <v>11627.76576</v>
      </c>
      <c r="Z70" s="53">
        <f>1.004*9028.1</f>
        <v>9064.2124</v>
      </c>
      <c r="AA70" s="53">
        <f>1.004*6395.83</f>
        <v>6421.41332</v>
      </c>
      <c r="AB70" s="53">
        <f>1.004*5046.25
</f>
        <v>5066.435</v>
      </c>
      <c r="AC70" s="41">
        <f>1.004*4648.06</f>
        <v>4666.65224</v>
      </c>
      <c r="AD70" s="53">
        <f>1.004*6892.79</f>
        <v>6920.36116</v>
      </c>
      <c r="AE70" s="53">
        <f>1.004*6735.29
</f>
        <v>6762.23116</v>
      </c>
      <c r="AF70" s="53"/>
      <c r="AG70" s="51"/>
      <c r="AH70" s="51"/>
      <c r="AI70" s="51"/>
      <c r="AJ70" s="20"/>
      <c r="AK70" s="20"/>
      <c r="AL70" s="20"/>
      <c r="AM70" s="20"/>
    </row>
    <row r="71">
      <c r="A71" s="49" t="s">
        <v>29</v>
      </c>
      <c r="B71" s="38">
        <v>5.0</v>
      </c>
      <c r="C71" s="38">
        <v>1.0</v>
      </c>
      <c r="D71" s="38">
        <v>2.0</v>
      </c>
      <c r="E71" s="38">
        <v>3.0</v>
      </c>
      <c r="F71" s="38">
        <v>3.0</v>
      </c>
      <c r="G71" s="41">
        <v>4.0</v>
      </c>
      <c r="H71" s="41">
        <v>2.0</v>
      </c>
      <c r="I71" s="41">
        <v>2.0</v>
      </c>
      <c r="J71" s="41">
        <v>3.0</v>
      </c>
      <c r="K71" s="41">
        <v>5.0</v>
      </c>
      <c r="L71" s="41">
        <v>3.0</v>
      </c>
      <c r="M71" s="41">
        <v>0.0</v>
      </c>
      <c r="N71" s="41">
        <v>0.0</v>
      </c>
      <c r="O71" s="41">
        <v>1.0</v>
      </c>
      <c r="P71" s="41">
        <v>2.0</v>
      </c>
      <c r="Q71" s="41">
        <v>4.0</v>
      </c>
      <c r="R71" s="41">
        <v>0.0</v>
      </c>
      <c r="S71" s="41">
        <v>3.0</v>
      </c>
      <c r="T71" s="41">
        <v>2.0</v>
      </c>
      <c r="U71" s="41">
        <v>2.0</v>
      </c>
      <c r="V71" s="41">
        <v>3.0</v>
      </c>
      <c r="W71" s="41">
        <v>2.0</v>
      </c>
      <c r="X71" s="38">
        <v>0.0</v>
      </c>
      <c r="Y71" s="38">
        <v>1.0</v>
      </c>
      <c r="Z71" s="41">
        <v>0.0</v>
      </c>
      <c r="AA71" s="41">
        <v>2.0</v>
      </c>
      <c r="AB71" s="41">
        <v>1.0</v>
      </c>
      <c r="AC71" s="41">
        <v>2.0</v>
      </c>
      <c r="AD71" s="41">
        <v>0.0</v>
      </c>
      <c r="AE71" s="41">
        <v>1.0</v>
      </c>
      <c r="AF71" s="53"/>
      <c r="AG71" s="51"/>
      <c r="AH71" s="51"/>
      <c r="AI71" s="51"/>
      <c r="AJ71" s="20"/>
      <c r="AK71" s="20"/>
      <c r="AL71" s="20"/>
      <c r="AM71" s="20"/>
    </row>
    <row r="72">
      <c r="A72" s="35" t="s">
        <v>30</v>
      </c>
      <c r="B72" s="53">
        <f t="shared" ref="B72:R72" si="32">B70/B71</f>
        <v>2323.794144</v>
      </c>
      <c r="C72" s="53">
        <f t="shared" si="32"/>
        <v>7106.93448</v>
      </c>
      <c r="D72" s="53">
        <f t="shared" si="32"/>
        <v>4455.6767</v>
      </c>
      <c r="E72" s="53">
        <f t="shared" si="32"/>
        <v>2576.009653</v>
      </c>
      <c r="F72" s="53">
        <f t="shared" si="32"/>
        <v>2095.200747</v>
      </c>
      <c r="G72" s="53">
        <f t="shared" si="32"/>
        <v>1894.4476</v>
      </c>
      <c r="H72" s="53">
        <f t="shared" si="32"/>
        <v>3094.17238</v>
      </c>
      <c r="I72" s="53">
        <f t="shared" si="32"/>
        <v>5624.16704</v>
      </c>
      <c r="J72" s="53">
        <f t="shared" si="32"/>
        <v>3689.25824</v>
      </c>
      <c r="K72" s="53">
        <f t="shared" si="32"/>
        <v>1938.756128</v>
      </c>
      <c r="L72" s="53">
        <f t="shared" si="32"/>
        <v>2585.36024</v>
      </c>
      <c r="M72" s="53" t="str">
        <f t="shared" si="32"/>
        <v>#DIV/0!</v>
      </c>
      <c r="N72" s="53" t="str">
        <f t="shared" si="32"/>
        <v>#DIV/0!</v>
      </c>
      <c r="O72" s="53">
        <f t="shared" si="32"/>
        <v>8228.85428</v>
      </c>
      <c r="P72" s="53">
        <f t="shared" si="32"/>
        <v>5310.0305</v>
      </c>
      <c r="Q72" s="53">
        <f t="shared" si="32"/>
        <v>2405.64424</v>
      </c>
      <c r="R72" s="53" t="str">
        <f t="shared" si="32"/>
        <v>#DIV/0!</v>
      </c>
      <c r="S72" s="53">
        <f>S60/S71</f>
        <v>2976.230827</v>
      </c>
      <c r="T72" s="53">
        <f t="shared" ref="T72:AF72" si="33">T70/T71</f>
        <v>2715.91538</v>
      </c>
      <c r="U72" s="53">
        <f t="shared" si="33"/>
        <v>3716.81302</v>
      </c>
      <c r="V72" s="53">
        <f t="shared" si="33"/>
        <v>1562.481693</v>
      </c>
      <c r="W72" s="53">
        <f t="shared" si="33"/>
        <v>3642.72284</v>
      </c>
      <c r="X72" s="53" t="str">
        <f t="shared" si="33"/>
        <v>#DIV/0!</v>
      </c>
      <c r="Y72" s="53">
        <f t="shared" si="33"/>
        <v>11627.76576</v>
      </c>
      <c r="Z72" s="53" t="str">
        <f t="shared" si="33"/>
        <v>#DIV/0!</v>
      </c>
      <c r="AA72" s="53">
        <f t="shared" si="33"/>
        <v>3210.70666</v>
      </c>
      <c r="AB72" s="53">
        <f t="shared" si="33"/>
        <v>5066.435</v>
      </c>
      <c r="AC72" s="53">
        <f t="shared" si="33"/>
        <v>2333.32612</v>
      </c>
      <c r="AD72" s="53" t="str">
        <f t="shared" si="33"/>
        <v>#DIV/0!</v>
      </c>
      <c r="AE72" s="53">
        <f t="shared" si="33"/>
        <v>6762.23116</v>
      </c>
      <c r="AF72" s="53" t="str">
        <f t="shared" si="33"/>
        <v>#DIV/0!</v>
      </c>
      <c r="AG72" s="55"/>
      <c r="AH72" s="55"/>
      <c r="AI72" s="55"/>
      <c r="AJ72" s="40"/>
      <c r="AK72" s="40"/>
      <c r="AL72" s="40"/>
      <c r="AM72" s="40"/>
    </row>
    <row r="73">
      <c r="A73" s="25" t="s">
        <v>44</v>
      </c>
      <c r="B73" s="22"/>
      <c r="C73" s="23"/>
      <c r="D73" s="23"/>
      <c r="E73" s="23"/>
      <c r="F73" s="23"/>
      <c r="G73" s="23"/>
      <c r="H73" s="23"/>
      <c r="I73" s="23"/>
      <c r="J73" s="23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0"/>
      <c r="AK73" s="20"/>
      <c r="AL73" s="20"/>
      <c r="AM73" s="20"/>
    </row>
    <row r="74" ht="33.0" customHeight="1">
      <c r="A74" s="1" t="s">
        <v>45</v>
      </c>
      <c r="B74" s="2" t="s">
        <v>1</v>
      </c>
      <c r="C74" s="3" t="s">
        <v>2</v>
      </c>
      <c r="D74" s="3" t="s">
        <v>3</v>
      </c>
      <c r="E74" s="3" t="s">
        <v>4</v>
      </c>
      <c r="F74" s="57" t="s">
        <v>5</v>
      </c>
      <c r="G74" s="57" t="s">
        <v>6</v>
      </c>
      <c r="H74" s="58" t="s">
        <v>7</v>
      </c>
      <c r="I74" s="58" t="s">
        <v>8</v>
      </c>
      <c r="J74" s="58" t="s">
        <v>9</v>
      </c>
      <c r="K74" s="58" t="s">
        <v>10</v>
      </c>
      <c r="L74" s="58" t="s">
        <v>11</v>
      </c>
      <c r="M74" s="59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>
      <c r="A75" s="7" t="s">
        <v>12</v>
      </c>
      <c r="B75" s="9">
        <f t="shared" ref="B75:C75" si="34">B81+B91+B101</f>
        <v>203</v>
      </c>
      <c r="C75" s="9">
        <f t="shared" si="34"/>
        <v>191</v>
      </c>
      <c r="D75" s="10">
        <f t="shared" ref="D75:D77" si="36">C75/B75</f>
        <v>0.9408866995</v>
      </c>
      <c r="E75" s="9">
        <f>B75-C75</f>
        <v>12</v>
      </c>
      <c r="F75" s="60">
        <f>C75/AJ75*AK75</f>
        <v>845.8571429</v>
      </c>
      <c r="G75" s="61">
        <f t="shared" ref="G75:G76" si="37">F75/B75</f>
        <v>4.166783955</v>
      </c>
      <c r="H75" s="60">
        <f>F75-B75</f>
        <v>642.8571429</v>
      </c>
      <c r="I75" s="62">
        <f>E75/(AK75-AJ75)</f>
        <v>0.5</v>
      </c>
      <c r="J75" s="63">
        <f>B75/AK75</f>
        <v>6.548387097</v>
      </c>
      <c r="K75" s="63">
        <f>C75/AJ75</f>
        <v>27.28571429</v>
      </c>
      <c r="L75" s="64"/>
      <c r="M75" s="65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4">
        <f>AK76</f>
        <v>7</v>
      </c>
      <c r="AK75" s="14" t="str">
        <f>AM75</f>
        <v>31</v>
      </c>
      <c r="AL75" s="15">
        <f>DATE(YEAR(TODAY()),MONTH(TODAY())+1,1)-1</f>
        <v>44561</v>
      </c>
      <c r="AM75" s="14" t="str">
        <f>LEFT(AL75, 2)</f>
        <v>31</v>
      </c>
    </row>
    <row r="76">
      <c r="A76" s="7" t="s">
        <v>13</v>
      </c>
      <c r="B76" s="9">
        <f t="shared" ref="B76:C76" si="35">B77/B75</f>
        <v>4226.108374</v>
      </c>
      <c r="C76" s="9">
        <f t="shared" si="35"/>
        <v>3580.994696</v>
      </c>
      <c r="D76" s="10">
        <f t="shared" si="36"/>
        <v>0.8473504176</v>
      </c>
      <c r="E76" s="16"/>
      <c r="F76" s="66">
        <f>F77/F75</f>
        <v>3580.994696</v>
      </c>
      <c r="G76" s="61">
        <f t="shared" si="37"/>
        <v>0.8473504176</v>
      </c>
      <c r="H76" s="67"/>
      <c r="I76" s="67"/>
      <c r="J76" s="64"/>
      <c r="K76" s="63"/>
      <c r="L76" s="64"/>
      <c r="M76" s="65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7">
        <f>TODAY()</f>
        <v>44538</v>
      </c>
      <c r="AK76" s="14">
        <f>LEFT(AJ76, 2)-1</f>
        <v>7</v>
      </c>
      <c r="AL76" s="18"/>
      <c r="AM76" s="18"/>
    </row>
    <row r="77">
      <c r="A77" s="7" t="s">
        <v>14</v>
      </c>
      <c r="B77" s="9">
        <f t="shared" ref="B77:C77" si="38">B83+B93+B103</f>
        <v>857900</v>
      </c>
      <c r="C77" s="9">
        <f t="shared" si="38"/>
        <v>683969.9869</v>
      </c>
      <c r="D77" s="10">
        <f t="shared" si="36"/>
        <v>0.7972607377</v>
      </c>
      <c r="E77" s="9">
        <f>B77-C77</f>
        <v>173930.0131</v>
      </c>
      <c r="F77" s="60">
        <f>C77/AJ75*AK75</f>
        <v>3029009.942</v>
      </c>
      <c r="G77" s="61"/>
      <c r="H77" s="60"/>
      <c r="I77" s="68">
        <f>E77/(AK75-AJ75)</f>
        <v>7247.08388</v>
      </c>
      <c r="J77" s="63">
        <f>B77/AK75</f>
        <v>27674.19355</v>
      </c>
      <c r="K77" s="63">
        <f>C77/AJ75</f>
        <v>97709.99813</v>
      </c>
      <c r="L77" s="64"/>
      <c r="M77" s="65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20"/>
      <c r="AK77" s="20"/>
      <c r="AL77" s="20"/>
      <c r="AM77" s="20"/>
    </row>
    <row r="78">
      <c r="A78" s="21"/>
      <c r="B78" s="22"/>
      <c r="C78" s="23"/>
      <c r="D78" s="23"/>
      <c r="E78" s="23"/>
      <c r="F78" s="23"/>
      <c r="G78" s="23"/>
      <c r="H78" s="23"/>
      <c r="I78" s="23"/>
      <c r="J78" s="23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0"/>
      <c r="AK78" s="20"/>
      <c r="AL78" s="20"/>
      <c r="AM78" s="20"/>
    </row>
    <row r="79">
      <c r="A79" s="25" t="s">
        <v>15</v>
      </c>
      <c r="B79" s="22"/>
      <c r="C79" s="23"/>
      <c r="D79" s="23"/>
      <c r="E79" s="23"/>
      <c r="F79" s="23"/>
      <c r="G79" s="23"/>
      <c r="H79" s="23"/>
      <c r="I79" s="23"/>
      <c r="J79" s="23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0"/>
      <c r="AK79" s="20"/>
      <c r="AL79" s="20"/>
      <c r="AM79" s="20"/>
    </row>
    <row r="80">
      <c r="A80" s="26" t="s">
        <v>46</v>
      </c>
      <c r="B80" s="27" t="s">
        <v>1</v>
      </c>
      <c r="C80" s="28" t="s">
        <v>2</v>
      </c>
      <c r="D80" s="28" t="s">
        <v>3</v>
      </c>
      <c r="E80" s="28" t="s">
        <v>4</v>
      </c>
      <c r="F80" s="29" t="s">
        <v>5</v>
      </c>
      <c r="G80" s="29" t="s">
        <v>6</v>
      </c>
      <c r="H80" s="28" t="s">
        <v>7</v>
      </c>
      <c r="I80" s="28" t="s">
        <v>8</v>
      </c>
      <c r="J80" s="28" t="s">
        <v>9</v>
      </c>
      <c r="K80" s="29" t="s">
        <v>10</v>
      </c>
      <c r="L80" s="29" t="s">
        <v>17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0"/>
      <c r="AK80" s="20"/>
      <c r="AL80" s="20"/>
      <c r="AM80" s="20"/>
    </row>
    <row r="81">
      <c r="A81" s="7" t="s">
        <v>12</v>
      </c>
      <c r="B81" s="8">
        <v>134.0</v>
      </c>
      <c r="C81" s="9">
        <f>SUM(B87:AF87)</f>
        <v>76</v>
      </c>
      <c r="D81" s="10">
        <f t="shared" ref="D81:D83" si="39">C81/B81</f>
        <v>0.5671641791</v>
      </c>
      <c r="E81" s="19">
        <f>B81-C81</f>
        <v>58</v>
      </c>
      <c r="F81" s="9">
        <f>C81/AJ81*AK81</f>
        <v>336.5714286</v>
      </c>
      <c r="G81" s="10"/>
      <c r="H81" s="9"/>
      <c r="I81" s="19">
        <f>E81/(AK81-AJ81)</f>
        <v>2.416666667</v>
      </c>
      <c r="J81" s="12">
        <f>B81/AK81</f>
        <v>4.322580645</v>
      </c>
      <c r="K81" s="12">
        <f>C81/AJ75</f>
        <v>10.85714286</v>
      </c>
      <c r="L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4">
        <f>AK82</f>
        <v>7</v>
      </c>
      <c r="AK81" s="14" t="str">
        <f>AM81</f>
        <v>31</v>
      </c>
      <c r="AL81" s="15">
        <f>DATE(YEAR(TODAY()),MONTH(TODAY())+1,1)-1</f>
        <v>44561</v>
      </c>
      <c r="AM81" s="14" t="str">
        <f>LEFT(AL81, 2)</f>
        <v>31</v>
      </c>
    </row>
    <row r="82">
      <c r="A82" s="7" t="s">
        <v>18</v>
      </c>
      <c r="B82" s="8">
        <v>4300.0</v>
      </c>
      <c r="C82" s="9">
        <f>C83/C81</f>
        <v>5175.374284</v>
      </c>
      <c r="D82" s="10">
        <f t="shared" si="39"/>
        <v>1.203575415</v>
      </c>
      <c r="E82" s="13"/>
      <c r="F82" s="9">
        <f>F83/F81</f>
        <v>5175.374284</v>
      </c>
      <c r="G82" s="10"/>
      <c r="H82" s="13"/>
      <c r="I82" s="9"/>
      <c r="J82" s="13"/>
      <c r="K82" s="12"/>
      <c r="L82" s="13"/>
      <c r="N82" s="13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17">
        <f>TODAY()</f>
        <v>44538</v>
      </c>
      <c r="AK82" s="14">
        <f>LEFT(AJ82, 2)-1</f>
        <v>7</v>
      </c>
      <c r="AL82" s="18"/>
      <c r="AM82" s="18"/>
    </row>
    <row r="83">
      <c r="A83" s="7" t="s">
        <v>14</v>
      </c>
      <c r="B83" s="9">
        <f>B81*B82</f>
        <v>576200</v>
      </c>
      <c r="C83" s="9">
        <f>SUM(B86:AF86)</f>
        <v>393328.4456</v>
      </c>
      <c r="D83" s="10">
        <f t="shared" si="39"/>
        <v>0.6826248622</v>
      </c>
      <c r="E83" s="9">
        <f>B83-C83</f>
        <v>182871.5544</v>
      </c>
      <c r="F83" s="9">
        <f>C83/AJ81*AK81</f>
        <v>1741883.116</v>
      </c>
      <c r="G83" s="10"/>
      <c r="H83" s="9"/>
      <c r="I83" s="9">
        <f>E83/(AK81-AJ81)</f>
        <v>7619.6481</v>
      </c>
      <c r="J83" s="19">
        <f>B83/AK81</f>
        <v>18587.09677</v>
      </c>
      <c r="K83" s="12">
        <f>C83/AJ75</f>
        <v>56189.77794</v>
      </c>
      <c r="L83" s="32">
        <f>(I83+I93)/1.2/1.004</f>
        <v>4360.307582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20"/>
      <c r="AK83" s="20"/>
      <c r="AL83" s="20"/>
      <c r="AM83" s="20"/>
    </row>
    <row r="84">
      <c r="A84" s="33" t="s">
        <v>47</v>
      </c>
      <c r="B84" s="34" t="s">
        <v>22</v>
      </c>
      <c r="C84" s="34" t="s">
        <v>23</v>
      </c>
      <c r="D84" s="34" t="s">
        <v>24</v>
      </c>
      <c r="E84" s="34" t="s">
        <v>25</v>
      </c>
      <c r="F84" s="34" t="s">
        <v>26</v>
      </c>
      <c r="G84" s="34" t="s">
        <v>20</v>
      </c>
      <c r="H84" s="34" t="s">
        <v>21</v>
      </c>
      <c r="I84" s="34" t="s">
        <v>22</v>
      </c>
      <c r="J84" s="34" t="s">
        <v>23</v>
      </c>
      <c r="K84" s="34" t="s">
        <v>24</v>
      </c>
      <c r="L84" s="34" t="s">
        <v>25</v>
      </c>
      <c r="M84" s="34" t="s">
        <v>26</v>
      </c>
      <c r="N84" s="34" t="s">
        <v>20</v>
      </c>
      <c r="O84" s="34" t="s">
        <v>21</v>
      </c>
      <c r="P84" s="34" t="s">
        <v>22</v>
      </c>
      <c r="Q84" s="34" t="s">
        <v>23</v>
      </c>
      <c r="R84" s="34" t="s">
        <v>24</v>
      </c>
      <c r="S84" s="34" t="s">
        <v>25</v>
      </c>
      <c r="T84" s="34" t="s">
        <v>26</v>
      </c>
      <c r="U84" s="34" t="s">
        <v>20</v>
      </c>
      <c r="V84" s="34" t="s">
        <v>21</v>
      </c>
      <c r="W84" s="34" t="s">
        <v>22</v>
      </c>
      <c r="X84" s="34" t="s">
        <v>23</v>
      </c>
      <c r="Y84" s="34" t="s">
        <v>24</v>
      </c>
      <c r="Z84" s="34" t="s">
        <v>25</v>
      </c>
      <c r="AA84" s="34" t="s">
        <v>26</v>
      </c>
      <c r="AB84" s="34" t="s">
        <v>20</v>
      </c>
      <c r="AC84" s="34" t="s">
        <v>21</v>
      </c>
      <c r="AD84" s="34" t="s">
        <v>22</v>
      </c>
      <c r="AE84" s="34" t="s">
        <v>23</v>
      </c>
      <c r="AF84" s="34" t="s">
        <v>24</v>
      </c>
      <c r="AG84" s="30"/>
      <c r="AH84" s="30"/>
      <c r="AI84" s="30"/>
      <c r="AJ84" s="20"/>
      <c r="AK84" s="20"/>
      <c r="AL84" s="20"/>
      <c r="AM84" s="20"/>
    </row>
    <row r="85">
      <c r="A85" s="35" t="s">
        <v>27</v>
      </c>
      <c r="B85" s="48">
        <v>44470.0</v>
      </c>
      <c r="C85" s="48">
        <v>44471.0</v>
      </c>
      <c r="D85" s="48">
        <v>44472.0</v>
      </c>
      <c r="E85" s="48">
        <v>44473.0</v>
      </c>
      <c r="F85" s="48">
        <v>44474.0</v>
      </c>
      <c r="G85" s="48">
        <v>44475.0</v>
      </c>
      <c r="H85" s="48">
        <v>44476.0</v>
      </c>
      <c r="I85" s="48">
        <v>44477.0</v>
      </c>
      <c r="J85" s="48">
        <v>44478.0</v>
      </c>
      <c r="K85" s="48">
        <v>44479.0</v>
      </c>
      <c r="L85" s="48">
        <v>44480.0</v>
      </c>
      <c r="M85" s="48">
        <v>44481.0</v>
      </c>
      <c r="N85" s="48">
        <v>44482.0</v>
      </c>
      <c r="O85" s="48">
        <v>44483.0</v>
      </c>
      <c r="P85" s="48">
        <v>44484.0</v>
      </c>
      <c r="Q85" s="48">
        <v>44485.0</v>
      </c>
      <c r="R85" s="48">
        <v>44486.0</v>
      </c>
      <c r="S85" s="48">
        <v>44487.0</v>
      </c>
      <c r="T85" s="48">
        <v>44488.0</v>
      </c>
      <c r="U85" s="48">
        <v>44489.0</v>
      </c>
      <c r="V85" s="48">
        <v>44490.0</v>
      </c>
      <c r="W85" s="48">
        <v>44491.0</v>
      </c>
      <c r="X85" s="48">
        <v>44492.0</v>
      </c>
      <c r="Y85" s="48">
        <v>44493.0</v>
      </c>
      <c r="Z85" s="48">
        <v>44494.0</v>
      </c>
      <c r="AA85" s="48">
        <v>44495.0</v>
      </c>
      <c r="AB85" s="48">
        <v>44496.0</v>
      </c>
      <c r="AC85" s="48">
        <v>44497.0</v>
      </c>
      <c r="AD85" s="48">
        <v>44498.0</v>
      </c>
      <c r="AE85" s="48">
        <v>44499.0</v>
      </c>
      <c r="AF85" s="48">
        <v>44500.0</v>
      </c>
      <c r="AG85" s="37"/>
      <c r="AH85" s="37"/>
      <c r="AI85" s="37"/>
      <c r="AJ85" s="18"/>
      <c r="AK85" s="18"/>
      <c r="AL85" s="18"/>
      <c r="AM85" s="18"/>
    </row>
    <row r="86">
      <c r="A86" s="35" t="s">
        <v>28</v>
      </c>
      <c r="B86" s="38">
        <f>1.004*14529.42</f>
        <v>14587.53768</v>
      </c>
      <c r="C86" s="38">
        <f>1.004*10151.68</f>
        <v>10192.28672</v>
      </c>
      <c r="D86" s="38">
        <f>1.004*11912</f>
        <v>11959.648</v>
      </c>
      <c r="E86" s="38">
        <f>1.004*19021.73</f>
        <v>19097.81692</v>
      </c>
      <c r="F86" s="38">
        <f>1.004*17138.11</f>
        <v>17206.66244</v>
      </c>
      <c r="G86" s="38">
        <f>1.004*18430.34</f>
        <v>18504.06136</v>
      </c>
      <c r="H86" s="38">
        <f>1.004*17089.07</f>
        <v>17157.42628</v>
      </c>
      <c r="I86" s="38">
        <f>1.004*16648.58</f>
        <v>16715.17432</v>
      </c>
      <c r="J86" s="38">
        <f>1.004*9629.06</f>
        <v>9667.57624</v>
      </c>
      <c r="K86" s="38">
        <f>1.004*10857.65</f>
        <v>10901.0806</v>
      </c>
      <c r="L86" s="38">
        <f>1.004*14824.17</f>
        <v>14883.46668</v>
      </c>
      <c r="M86" s="38">
        <f>1.004*18808.6</f>
        <v>18883.8344</v>
      </c>
      <c r="N86" s="38">
        <f>1.004*18035.69</f>
        <v>18107.83276</v>
      </c>
      <c r="O86" s="38">
        <f>1.004*11080.12</f>
        <v>11124.44048</v>
      </c>
      <c r="P86" s="38">
        <f>1.004*10429.67</f>
        <v>10471.38868</v>
      </c>
      <c r="Q86" s="38">
        <f>1.004*7828.7</f>
        <v>7860.0148</v>
      </c>
      <c r="R86" s="38">
        <f>1.004*9571.93</f>
        <v>9610.21772</v>
      </c>
      <c r="S86" s="38">
        <f>1.004*14662.5</f>
        <v>14721.15</v>
      </c>
      <c r="T86" s="39">
        <f>1.004*12142.38
</f>
        <v>12190.94952</v>
      </c>
      <c r="U86" s="39">
        <f>1.004*12976.99</f>
        <v>13028.89796</v>
      </c>
      <c r="V86" s="39">
        <f>1.004*10844</f>
        <v>10887.376</v>
      </c>
      <c r="W86" s="38">
        <f>1.004*8067.96</f>
        <v>8100.23184</v>
      </c>
      <c r="X86" s="39">
        <f>1.004*7723.9
</f>
        <v>7754.7956</v>
      </c>
      <c r="Y86" s="39">
        <f>1.004*8268.52
</f>
        <v>8301.59408</v>
      </c>
      <c r="Z86" s="38">
        <f>1.004*11640.57</f>
        <v>11687.13228</v>
      </c>
      <c r="AA86" s="39">
        <f>1.004*9756.2
</f>
        <v>9795.2248</v>
      </c>
      <c r="AB86" s="39">
        <f>1.004*12976.29
</f>
        <v>13028.19516</v>
      </c>
      <c r="AC86" s="39">
        <f>1.004*14934.14</f>
        <v>14993.87656</v>
      </c>
      <c r="AD86" s="39">
        <f>1.004*11364.25</f>
        <v>11409.707</v>
      </c>
      <c r="AE86" s="39">
        <f>1.004*8658.88
</f>
        <v>8693.51552</v>
      </c>
      <c r="AF86" s="39">
        <f>1.004*11758.3</f>
        <v>11805.3332</v>
      </c>
      <c r="AG86" s="23"/>
      <c r="AH86" s="23"/>
      <c r="AI86" s="23"/>
      <c r="AJ86" s="40"/>
      <c r="AK86" s="40"/>
      <c r="AL86" s="40"/>
      <c r="AM86" s="40"/>
    </row>
    <row r="87">
      <c r="A87" s="35" t="s">
        <v>29</v>
      </c>
      <c r="B87" s="38">
        <v>1.0</v>
      </c>
      <c r="C87" s="38">
        <v>1.0</v>
      </c>
      <c r="D87" s="38">
        <v>1.0</v>
      </c>
      <c r="E87" s="38">
        <v>4.0</v>
      </c>
      <c r="F87" s="38">
        <v>7.0</v>
      </c>
      <c r="G87" s="38">
        <v>5.0</v>
      </c>
      <c r="H87" s="38">
        <v>3.0</v>
      </c>
      <c r="I87" s="38">
        <v>6.0</v>
      </c>
      <c r="J87" s="38">
        <v>2.0</v>
      </c>
      <c r="K87" s="38">
        <v>2.0</v>
      </c>
      <c r="L87" s="38">
        <v>2.0</v>
      </c>
      <c r="M87" s="38">
        <v>2.0</v>
      </c>
      <c r="N87" s="38">
        <v>1.0</v>
      </c>
      <c r="O87" s="38">
        <v>2.0</v>
      </c>
      <c r="P87" s="38">
        <v>1.0</v>
      </c>
      <c r="Q87" s="38">
        <v>0.0</v>
      </c>
      <c r="R87" s="38">
        <v>1.0</v>
      </c>
      <c r="S87" s="41">
        <v>1.0</v>
      </c>
      <c r="T87" s="41">
        <v>5.0</v>
      </c>
      <c r="U87" s="38">
        <v>3.0</v>
      </c>
      <c r="V87" s="38">
        <v>4.0</v>
      </c>
      <c r="W87" s="38">
        <v>1.0</v>
      </c>
      <c r="X87" s="38">
        <v>2.0</v>
      </c>
      <c r="Y87" s="38">
        <v>1.0</v>
      </c>
      <c r="Z87" s="38">
        <v>4.0</v>
      </c>
      <c r="AA87" s="38">
        <v>4.0</v>
      </c>
      <c r="AB87" s="38">
        <v>2.0</v>
      </c>
      <c r="AC87" s="38">
        <v>1.0</v>
      </c>
      <c r="AD87" s="38">
        <v>3.0</v>
      </c>
      <c r="AE87" s="38">
        <v>3.0</v>
      </c>
      <c r="AF87" s="39">
        <v>1.0</v>
      </c>
      <c r="AG87" s="23"/>
      <c r="AH87" s="23"/>
      <c r="AI87" s="23"/>
      <c r="AJ87" s="40"/>
      <c r="AK87" s="40"/>
      <c r="AL87" s="40"/>
      <c r="AM87" s="40"/>
    </row>
    <row r="88">
      <c r="A88" s="35" t="s">
        <v>30</v>
      </c>
      <c r="B88" s="39">
        <f t="shared" ref="B88:AF88" si="40">B86/B87</f>
        <v>14587.53768</v>
      </c>
      <c r="C88" s="39">
        <f t="shared" si="40"/>
        <v>10192.28672</v>
      </c>
      <c r="D88" s="39">
        <f t="shared" si="40"/>
        <v>11959.648</v>
      </c>
      <c r="E88" s="39">
        <f t="shared" si="40"/>
        <v>4774.45423</v>
      </c>
      <c r="F88" s="39">
        <f t="shared" si="40"/>
        <v>2458.094634</v>
      </c>
      <c r="G88" s="39">
        <f t="shared" si="40"/>
        <v>3700.812272</v>
      </c>
      <c r="H88" s="39">
        <f t="shared" si="40"/>
        <v>5719.142093</v>
      </c>
      <c r="I88" s="39">
        <f t="shared" si="40"/>
        <v>2785.862387</v>
      </c>
      <c r="J88" s="39">
        <f t="shared" si="40"/>
        <v>4833.78812</v>
      </c>
      <c r="K88" s="39">
        <f t="shared" si="40"/>
        <v>5450.5403</v>
      </c>
      <c r="L88" s="39">
        <f t="shared" si="40"/>
        <v>7441.73334</v>
      </c>
      <c r="M88" s="39">
        <f t="shared" si="40"/>
        <v>9441.9172</v>
      </c>
      <c r="N88" s="39">
        <f t="shared" si="40"/>
        <v>18107.83276</v>
      </c>
      <c r="O88" s="39">
        <f t="shared" si="40"/>
        <v>5562.22024</v>
      </c>
      <c r="P88" s="39">
        <f t="shared" si="40"/>
        <v>10471.38868</v>
      </c>
      <c r="Q88" s="39" t="str">
        <f t="shared" si="40"/>
        <v>#DIV/0!</v>
      </c>
      <c r="R88" s="39">
        <f t="shared" si="40"/>
        <v>9610.21772</v>
      </c>
      <c r="S88" s="39">
        <f t="shared" si="40"/>
        <v>14721.15</v>
      </c>
      <c r="T88" s="39">
        <f t="shared" si="40"/>
        <v>2438.189904</v>
      </c>
      <c r="U88" s="39">
        <f t="shared" si="40"/>
        <v>4342.965987</v>
      </c>
      <c r="V88" s="39">
        <f t="shared" si="40"/>
        <v>2721.844</v>
      </c>
      <c r="W88" s="39">
        <f t="shared" si="40"/>
        <v>8100.23184</v>
      </c>
      <c r="X88" s="39">
        <f t="shared" si="40"/>
        <v>3877.3978</v>
      </c>
      <c r="Y88" s="39">
        <f t="shared" si="40"/>
        <v>8301.59408</v>
      </c>
      <c r="Z88" s="39">
        <f t="shared" si="40"/>
        <v>2921.78307</v>
      </c>
      <c r="AA88" s="39">
        <f t="shared" si="40"/>
        <v>2448.8062</v>
      </c>
      <c r="AB88" s="39">
        <f t="shared" si="40"/>
        <v>6514.09758</v>
      </c>
      <c r="AC88" s="39">
        <f t="shared" si="40"/>
        <v>14993.87656</v>
      </c>
      <c r="AD88" s="39">
        <f t="shared" si="40"/>
        <v>3803.235667</v>
      </c>
      <c r="AE88" s="39">
        <f t="shared" si="40"/>
        <v>2897.838507</v>
      </c>
      <c r="AF88" s="39">
        <f t="shared" si="40"/>
        <v>11805.3332</v>
      </c>
      <c r="AG88" s="23"/>
      <c r="AH88" s="23"/>
      <c r="AI88" s="23"/>
      <c r="AJ88" s="40"/>
      <c r="AK88" s="40"/>
      <c r="AL88" s="40"/>
      <c r="AM88" s="40"/>
    </row>
    <row r="89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20"/>
      <c r="AK89" s="20"/>
      <c r="AL89" s="20"/>
      <c r="AM89" s="20"/>
    </row>
    <row r="90">
      <c r="A90" s="26" t="s">
        <v>48</v>
      </c>
      <c r="B90" s="27" t="s">
        <v>1</v>
      </c>
      <c r="C90" s="28" t="s">
        <v>2</v>
      </c>
      <c r="D90" s="28" t="s">
        <v>3</v>
      </c>
      <c r="E90" s="28" t="s">
        <v>4</v>
      </c>
      <c r="F90" s="29" t="s">
        <v>5</v>
      </c>
      <c r="G90" s="29" t="s">
        <v>6</v>
      </c>
      <c r="H90" s="28" t="s">
        <v>7</v>
      </c>
      <c r="I90" s="28" t="s">
        <v>8</v>
      </c>
      <c r="J90" s="28" t="s">
        <v>9</v>
      </c>
      <c r="K90" s="28" t="s">
        <v>10</v>
      </c>
      <c r="L90" s="28" t="s">
        <v>11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0"/>
      <c r="AK90" s="20"/>
      <c r="AL90" s="20"/>
      <c r="AM90" s="20"/>
    </row>
    <row r="91">
      <c r="A91" s="7" t="s">
        <v>12</v>
      </c>
      <c r="B91" s="8">
        <v>9.0</v>
      </c>
      <c r="C91" s="9">
        <f>SUM(B97:AF97)</f>
        <v>42</v>
      </c>
      <c r="D91" s="10">
        <f t="shared" ref="D91:D93" si="41">C91/B91</f>
        <v>4.666666667</v>
      </c>
      <c r="E91" s="19">
        <f>B91-C91</f>
        <v>-33</v>
      </c>
      <c r="F91" s="9">
        <f>C91/AJ91*AK91</f>
        <v>186</v>
      </c>
      <c r="G91" s="45"/>
      <c r="H91" s="9"/>
      <c r="I91" s="19">
        <f>E91/(AK91-AJ91)</f>
        <v>-1.375</v>
      </c>
      <c r="J91" s="12">
        <f>B91/AK91</f>
        <v>0.2903225806</v>
      </c>
      <c r="K91" s="46">
        <f>C91/AJ75</f>
        <v>6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4">
        <f>AK92</f>
        <v>7</v>
      </c>
      <c r="AK91" s="14" t="str">
        <f>AM91</f>
        <v>31</v>
      </c>
      <c r="AL91" s="15">
        <f>DATE(YEAR(TODAY()),MONTH(TODAY())+1,1)-1</f>
        <v>44561</v>
      </c>
      <c r="AM91" s="14" t="str">
        <f>LEFT(AL91, 2)</f>
        <v>31</v>
      </c>
    </row>
    <row r="92">
      <c r="A92" s="7" t="s">
        <v>13</v>
      </c>
      <c r="B92" s="8">
        <v>3300.0</v>
      </c>
      <c r="C92" s="9">
        <f>C93/C91</f>
        <v>2059.342586</v>
      </c>
      <c r="D92" s="10">
        <f t="shared" si="41"/>
        <v>0.6240432078</v>
      </c>
      <c r="E92" s="12"/>
      <c r="F92" s="9">
        <f>F93/F91</f>
        <v>2059.342586</v>
      </c>
      <c r="G92" s="45"/>
      <c r="H92" s="13"/>
      <c r="I92" s="9"/>
      <c r="J92" s="13"/>
      <c r="K92" s="12"/>
      <c r="L92" s="13"/>
      <c r="M92" s="13"/>
      <c r="N92" s="13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17">
        <f>TODAY()</f>
        <v>44538</v>
      </c>
      <c r="AK92" s="14">
        <f>LEFT(AJ92, 2)-1</f>
        <v>7</v>
      </c>
      <c r="AL92" s="18"/>
      <c r="AM92" s="18"/>
    </row>
    <row r="93">
      <c r="A93" s="7" t="s">
        <v>14</v>
      </c>
      <c r="B93" s="9">
        <f>B91*B92</f>
        <v>29700</v>
      </c>
      <c r="C93" s="9">
        <f>SUM(B96:AF96)</f>
        <v>86492.3886</v>
      </c>
      <c r="D93" s="10">
        <f t="shared" si="41"/>
        <v>2.912201636</v>
      </c>
      <c r="E93" s="9">
        <f>B93-C93</f>
        <v>-56792.3886</v>
      </c>
      <c r="F93" s="9">
        <f>C93/AJ91*AK91</f>
        <v>383037.7209</v>
      </c>
      <c r="G93" s="45"/>
      <c r="H93" s="9"/>
      <c r="I93" s="9">
        <f>E93/(AK91-AJ91)</f>
        <v>-2366.349525</v>
      </c>
      <c r="J93" s="19">
        <f>B93/AK91</f>
        <v>958.0645161</v>
      </c>
      <c r="K93" s="47">
        <f>C93/AJ75</f>
        <v>12356.05551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20"/>
      <c r="AK93" s="20"/>
      <c r="AL93" s="20"/>
      <c r="AM93" s="20"/>
    </row>
    <row r="94">
      <c r="A94" s="33" t="s">
        <v>49</v>
      </c>
      <c r="B94" s="34" t="s">
        <v>22</v>
      </c>
      <c r="C94" s="34" t="s">
        <v>23</v>
      </c>
      <c r="D94" s="34" t="s">
        <v>24</v>
      </c>
      <c r="E94" s="34" t="s">
        <v>25</v>
      </c>
      <c r="F94" s="34" t="s">
        <v>26</v>
      </c>
      <c r="G94" s="34" t="s">
        <v>20</v>
      </c>
      <c r="H94" s="34" t="s">
        <v>21</v>
      </c>
      <c r="I94" s="34" t="s">
        <v>22</v>
      </c>
      <c r="J94" s="34" t="s">
        <v>23</v>
      </c>
      <c r="K94" s="34" t="s">
        <v>24</v>
      </c>
      <c r="L94" s="34" t="s">
        <v>25</v>
      </c>
      <c r="M94" s="34" t="s">
        <v>26</v>
      </c>
      <c r="N94" s="34" t="s">
        <v>20</v>
      </c>
      <c r="O94" s="34" t="s">
        <v>21</v>
      </c>
      <c r="P94" s="34" t="s">
        <v>22</v>
      </c>
      <c r="Q94" s="34" t="s">
        <v>23</v>
      </c>
      <c r="R94" s="34" t="s">
        <v>24</v>
      </c>
      <c r="S94" s="34" t="s">
        <v>25</v>
      </c>
      <c r="T94" s="34" t="s">
        <v>26</v>
      </c>
      <c r="U94" s="34" t="s">
        <v>20</v>
      </c>
      <c r="V94" s="34" t="s">
        <v>21</v>
      </c>
      <c r="W94" s="34" t="s">
        <v>22</v>
      </c>
      <c r="X94" s="34" t="s">
        <v>23</v>
      </c>
      <c r="Y94" s="34" t="s">
        <v>24</v>
      </c>
      <c r="Z94" s="34" t="s">
        <v>25</v>
      </c>
      <c r="AA94" s="34" t="s">
        <v>26</v>
      </c>
      <c r="AB94" s="34" t="s">
        <v>20</v>
      </c>
      <c r="AC94" s="34" t="s">
        <v>21</v>
      </c>
      <c r="AD94" s="34" t="s">
        <v>22</v>
      </c>
      <c r="AE94" s="34" t="s">
        <v>23</v>
      </c>
      <c r="AF94" s="34" t="s">
        <v>24</v>
      </c>
      <c r="AG94" s="30"/>
      <c r="AH94" s="30"/>
      <c r="AI94" s="30"/>
      <c r="AJ94" s="20"/>
      <c r="AK94" s="20"/>
      <c r="AL94" s="20"/>
      <c r="AM94" s="20"/>
    </row>
    <row r="95">
      <c r="A95" s="35" t="s">
        <v>27</v>
      </c>
      <c r="B95" s="48">
        <v>44470.0</v>
      </c>
      <c r="C95" s="48">
        <v>44471.0</v>
      </c>
      <c r="D95" s="48">
        <v>44472.0</v>
      </c>
      <c r="E95" s="48">
        <v>44473.0</v>
      </c>
      <c r="F95" s="48">
        <v>44474.0</v>
      </c>
      <c r="G95" s="48">
        <v>44475.0</v>
      </c>
      <c r="H95" s="48">
        <v>44476.0</v>
      </c>
      <c r="I95" s="48">
        <v>44477.0</v>
      </c>
      <c r="J95" s="48">
        <v>44478.0</v>
      </c>
      <c r="K95" s="48">
        <v>44479.0</v>
      </c>
      <c r="L95" s="48">
        <v>44480.0</v>
      </c>
      <c r="M95" s="48">
        <v>44481.0</v>
      </c>
      <c r="N95" s="48">
        <v>44482.0</v>
      </c>
      <c r="O95" s="48">
        <v>44483.0</v>
      </c>
      <c r="P95" s="48">
        <v>44484.0</v>
      </c>
      <c r="Q95" s="48">
        <v>44485.0</v>
      </c>
      <c r="R95" s="48">
        <v>44486.0</v>
      </c>
      <c r="S95" s="48">
        <v>44487.0</v>
      </c>
      <c r="T95" s="48">
        <v>44488.0</v>
      </c>
      <c r="U95" s="48">
        <v>44489.0</v>
      </c>
      <c r="V95" s="48">
        <v>44490.0</v>
      </c>
      <c r="W95" s="48">
        <v>44491.0</v>
      </c>
      <c r="X95" s="48">
        <v>44492.0</v>
      </c>
      <c r="Y95" s="48">
        <v>44493.0</v>
      </c>
      <c r="Z95" s="48">
        <v>44494.0</v>
      </c>
      <c r="AA95" s="48">
        <v>44495.0</v>
      </c>
      <c r="AB95" s="48">
        <v>44496.0</v>
      </c>
      <c r="AC95" s="48">
        <v>44497.0</v>
      </c>
      <c r="AD95" s="48">
        <v>44498.0</v>
      </c>
      <c r="AE95" s="48">
        <v>44499.0</v>
      </c>
      <c r="AF95" s="48">
        <v>44500.0</v>
      </c>
      <c r="AG95" s="37"/>
      <c r="AH95" s="37"/>
      <c r="AI95" s="37"/>
      <c r="AJ95" s="18"/>
      <c r="AK95" s="18"/>
      <c r="AL95" s="18"/>
      <c r="AM95" s="18"/>
    </row>
    <row r="96">
      <c r="A96" s="49" t="s">
        <v>28</v>
      </c>
      <c r="B96" s="38">
        <f>1.004*35.72</f>
        <v>35.86288</v>
      </c>
      <c r="C96" s="38">
        <v>10.69</v>
      </c>
      <c r="D96" s="38">
        <f>1.004*75.53</f>
        <v>75.83212</v>
      </c>
      <c r="E96" s="38">
        <v>0.0</v>
      </c>
      <c r="F96" s="38">
        <v>0.0</v>
      </c>
      <c r="G96" s="38">
        <f>1.004*24.65</f>
        <v>24.7486</v>
      </c>
      <c r="H96" s="38">
        <f>1.004*5815</f>
        <v>5838.26</v>
      </c>
      <c r="I96" s="38">
        <v>0.0</v>
      </c>
      <c r="J96" s="38">
        <f t="shared" ref="J96:K96" si="42">1.004*2893.12
</f>
        <v>2904.69248</v>
      </c>
      <c r="K96" s="38">
        <f t="shared" si="42"/>
        <v>2904.69248</v>
      </c>
      <c r="L96" s="38">
        <v>0.0</v>
      </c>
      <c r="M96" s="38">
        <v>0.0</v>
      </c>
      <c r="N96" s="38">
        <f>1.004*9746.91</f>
        <v>9785.89764</v>
      </c>
      <c r="O96" s="38">
        <f>1.004*11679.35</f>
        <v>11726.0674</v>
      </c>
      <c r="P96" s="38">
        <f>1.004*8393.74</f>
        <v>8427.31496</v>
      </c>
      <c r="Q96" s="38">
        <v>0.0</v>
      </c>
      <c r="R96" s="38">
        <v>0.0</v>
      </c>
      <c r="S96" s="38">
        <f>1.004*5786.23
</f>
        <v>5809.37492</v>
      </c>
      <c r="T96" s="38">
        <f>1.004*8726.23</f>
        <v>8761.13492</v>
      </c>
      <c r="U96" s="38">
        <f>1.004*5893.12</f>
        <v>5916.69248</v>
      </c>
      <c r="V96" s="38">
        <f>1.004*5880
</f>
        <v>5903.52</v>
      </c>
      <c r="W96" s="38">
        <f>1.004*2893.12
</f>
        <v>2904.69248</v>
      </c>
      <c r="X96" s="38">
        <f>1.004*748.19</f>
        <v>751.18276</v>
      </c>
      <c r="Y96" s="38">
        <f>1.004*2940</f>
        <v>2951.76</v>
      </c>
      <c r="Z96" s="38">
        <f>1.004*5893.12</f>
        <v>5916.69248</v>
      </c>
      <c r="AA96" s="38">
        <f>1.004*2940</f>
        <v>2951.76</v>
      </c>
      <c r="AB96" s="38">
        <v>0.0</v>
      </c>
      <c r="AC96" s="38">
        <v>0.0</v>
      </c>
      <c r="AD96" s="38">
        <v>0.0</v>
      </c>
      <c r="AE96" s="38">
        <f>1.004*2880</f>
        <v>2891.52</v>
      </c>
      <c r="AF96" s="38">
        <v>0.0</v>
      </c>
      <c r="AG96" s="51"/>
      <c r="AH96" s="51"/>
      <c r="AI96" s="51"/>
      <c r="AJ96" s="20"/>
      <c r="AK96" s="20"/>
      <c r="AL96" s="20"/>
      <c r="AM96" s="20"/>
    </row>
    <row r="97">
      <c r="A97" s="49" t="s">
        <v>29</v>
      </c>
      <c r="B97" s="38">
        <v>1.0</v>
      </c>
      <c r="C97" s="38">
        <v>0.0</v>
      </c>
      <c r="D97" s="38">
        <v>0.0</v>
      </c>
      <c r="E97" s="38">
        <v>0.0</v>
      </c>
      <c r="F97" s="38">
        <v>2.0</v>
      </c>
      <c r="G97" s="38">
        <v>1.0</v>
      </c>
      <c r="H97" s="38">
        <v>2.0</v>
      </c>
      <c r="I97" s="38">
        <v>0.0</v>
      </c>
      <c r="J97" s="38">
        <v>1.0</v>
      </c>
      <c r="K97" s="38">
        <v>1.0</v>
      </c>
      <c r="L97" s="38">
        <v>2.0</v>
      </c>
      <c r="M97" s="38">
        <v>0.0</v>
      </c>
      <c r="N97" s="38">
        <v>5.0</v>
      </c>
      <c r="O97" s="38">
        <v>4.0</v>
      </c>
      <c r="P97" s="38">
        <v>4.0</v>
      </c>
      <c r="Q97" s="38">
        <v>1.0</v>
      </c>
      <c r="R97" s="38">
        <v>0.0</v>
      </c>
      <c r="S97" s="38">
        <v>2.0</v>
      </c>
      <c r="T97" s="38">
        <v>3.0</v>
      </c>
      <c r="U97" s="38">
        <v>2.0</v>
      </c>
      <c r="V97" s="38">
        <v>2.0</v>
      </c>
      <c r="W97" s="38">
        <v>2.0</v>
      </c>
      <c r="X97" s="38">
        <v>1.0</v>
      </c>
      <c r="Y97" s="38">
        <v>2.0</v>
      </c>
      <c r="Z97" s="38">
        <v>2.0</v>
      </c>
      <c r="AA97" s="38">
        <v>1.0</v>
      </c>
      <c r="AB97" s="52">
        <v>0.0</v>
      </c>
      <c r="AC97" s="38"/>
      <c r="AD97" s="38"/>
      <c r="AE97" s="38">
        <v>1.0</v>
      </c>
      <c r="AF97" s="52">
        <v>0.0</v>
      </c>
      <c r="AG97" s="51"/>
      <c r="AH97" s="51"/>
      <c r="AI97" s="51"/>
      <c r="AJ97" s="20"/>
      <c r="AK97" s="20"/>
      <c r="AL97" s="20"/>
      <c r="AM97" s="20"/>
    </row>
    <row r="98">
      <c r="A98" s="35" t="s">
        <v>30</v>
      </c>
      <c r="B98" s="53">
        <f t="shared" ref="B98:AF98" si="43">B96/B97</f>
        <v>35.86288</v>
      </c>
      <c r="C98" s="53" t="str">
        <f t="shared" si="43"/>
        <v>#DIV/0!</v>
      </c>
      <c r="D98" s="53" t="str">
        <f t="shared" si="43"/>
        <v>#DIV/0!</v>
      </c>
      <c r="E98" s="53" t="str">
        <f t="shared" si="43"/>
        <v>#DIV/0!</v>
      </c>
      <c r="F98" s="53">
        <f t="shared" si="43"/>
        <v>0</v>
      </c>
      <c r="G98" s="53">
        <f t="shared" si="43"/>
        <v>24.7486</v>
      </c>
      <c r="H98" s="53">
        <f t="shared" si="43"/>
        <v>2919.13</v>
      </c>
      <c r="I98" s="53" t="str">
        <f t="shared" si="43"/>
        <v>#DIV/0!</v>
      </c>
      <c r="J98" s="53">
        <f t="shared" si="43"/>
        <v>2904.69248</v>
      </c>
      <c r="K98" s="53">
        <f t="shared" si="43"/>
        <v>2904.69248</v>
      </c>
      <c r="L98" s="53">
        <f t="shared" si="43"/>
        <v>0</v>
      </c>
      <c r="M98" s="53" t="str">
        <f t="shared" si="43"/>
        <v>#DIV/0!</v>
      </c>
      <c r="N98" s="53">
        <f t="shared" si="43"/>
        <v>1957.179528</v>
      </c>
      <c r="O98" s="53">
        <f t="shared" si="43"/>
        <v>2931.51685</v>
      </c>
      <c r="P98" s="53">
        <f t="shared" si="43"/>
        <v>2106.82874</v>
      </c>
      <c r="Q98" s="55">
        <f t="shared" si="43"/>
        <v>0</v>
      </c>
      <c r="R98" s="55" t="str">
        <f t="shared" si="43"/>
        <v>#DIV/0!</v>
      </c>
      <c r="S98" s="53">
        <f t="shared" si="43"/>
        <v>2904.68746</v>
      </c>
      <c r="T98" s="38">
        <f t="shared" si="43"/>
        <v>2920.378307</v>
      </c>
      <c r="U98" s="38">
        <f t="shared" si="43"/>
        <v>2958.34624</v>
      </c>
      <c r="V98" s="38">
        <f t="shared" si="43"/>
        <v>2951.76</v>
      </c>
      <c r="W98" s="55">
        <f t="shared" si="43"/>
        <v>1452.34624</v>
      </c>
      <c r="X98" s="38">
        <f t="shared" si="43"/>
        <v>751.18276</v>
      </c>
      <c r="Y98" s="38">
        <f t="shared" si="43"/>
        <v>1475.88</v>
      </c>
      <c r="Z98" s="38">
        <f t="shared" si="43"/>
        <v>2958.34624</v>
      </c>
      <c r="AA98" s="38">
        <f t="shared" si="43"/>
        <v>2951.76</v>
      </c>
      <c r="AB98" s="54" t="str">
        <f t="shared" si="43"/>
        <v>#DIV/0!</v>
      </c>
      <c r="AC98" s="54" t="str">
        <f t="shared" si="43"/>
        <v>#DIV/0!</v>
      </c>
      <c r="AD98" s="38" t="str">
        <f t="shared" si="43"/>
        <v>#DIV/0!</v>
      </c>
      <c r="AE98" s="38">
        <f t="shared" si="43"/>
        <v>2891.52</v>
      </c>
      <c r="AF98" s="54" t="str">
        <f t="shared" si="43"/>
        <v>#DIV/0!</v>
      </c>
      <c r="AG98" s="55"/>
      <c r="AH98" s="55"/>
      <c r="AI98" s="55"/>
      <c r="AJ98" s="40"/>
      <c r="AK98" s="40"/>
      <c r="AL98" s="40"/>
      <c r="AM98" s="40"/>
    </row>
    <row r="99">
      <c r="A99" s="42"/>
      <c r="B99" s="43"/>
      <c r="C99" s="43"/>
      <c r="D99" s="43"/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0"/>
      <c r="AK99" s="40"/>
      <c r="AL99" s="40"/>
      <c r="AM99" s="40"/>
    </row>
    <row r="100">
      <c r="A100" s="26" t="s">
        <v>50</v>
      </c>
      <c r="B100" s="27" t="s">
        <v>1</v>
      </c>
      <c r="C100" s="28" t="s">
        <v>2</v>
      </c>
      <c r="D100" s="28" t="s">
        <v>3</v>
      </c>
      <c r="E100" s="28" t="s">
        <v>4</v>
      </c>
      <c r="F100" s="28" t="s">
        <v>34</v>
      </c>
      <c r="G100" s="29" t="s">
        <v>6</v>
      </c>
      <c r="H100" s="28" t="s">
        <v>7</v>
      </c>
      <c r="I100" s="29" t="s">
        <v>8</v>
      </c>
      <c r="J100" s="28" t="s">
        <v>9</v>
      </c>
      <c r="K100" s="29" t="s">
        <v>10</v>
      </c>
      <c r="L100" s="28" t="s">
        <v>11</v>
      </c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0"/>
      <c r="AK100" s="20"/>
      <c r="AL100" s="20"/>
      <c r="AM100" s="20"/>
    </row>
    <row r="101">
      <c r="A101" s="7" t="s">
        <v>12</v>
      </c>
      <c r="B101" s="8">
        <v>60.0</v>
      </c>
      <c r="C101" s="9">
        <f>SUM(B107:AF107)</f>
        <v>73</v>
      </c>
      <c r="D101" s="10">
        <f>C101/B101</f>
        <v>1.216666667</v>
      </c>
      <c r="E101" s="19">
        <f>B101-C101</f>
        <v>-13</v>
      </c>
      <c r="F101" s="9">
        <f>C101/AJ101*AK101</f>
        <v>323.2857143</v>
      </c>
      <c r="G101" s="45"/>
      <c r="H101" s="9"/>
      <c r="I101" s="19">
        <f>E101/(AK101-AJ101)</f>
        <v>-0.5416666667</v>
      </c>
      <c r="J101" s="12">
        <f>B101/AK91</f>
        <v>1.935483871</v>
      </c>
      <c r="K101" s="12">
        <f>C101/AJ75</f>
        <v>10.42857143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4">
        <f>AK102</f>
        <v>7</v>
      </c>
      <c r="AK101" s="14" t="str">
        <f>AM101</f>
        <v>31</v>
      </c>
      <c r="AL101" s="15">
        <f>DATE(YEAR(TODAY()),MONTH(TODAY())+1,1)-1</f>
        <v>44561</v>
      </c>
      <c r="AM101" s="14" t="str">
        <f>LEFT(AL101, 2)</f>
        <v>31</v>
      </c>
    </row>
    <row r="102">
      <c r="A102" s="7" t="s">
        <v>13</v>
      </c>
      <c r="B102" s="8">
        <v>4200.0</v>
      </c>
      <c r="C102" s="56">
        <f t="shared" ref="C102:D102" si="44">C103/C101</f>
        <v>2796.563735</v>
      </c>
      <c r="D102" s="10">
        <f t="shared" si="44"/>
        <v>0.6658485084</v>
      </c>
      <c r="E102" s="13"/>
      <c r="F102" s="9">
        <f>F103/F101</f>
        <v>2796.563735</v>
      </c>
      <c r="G102" s="45"/>
      <c r="H102" s="13"/>
      <c r="I102" s="9"/>
      <c r="J102" s="13"/>
      <c r="K102" s="13"/>
      <c r="L102" s="13"/>
      <c r="M102" s="13"/>
      <c r="N102" s="13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17">
        <f>TODAY()</f>
        <v>44538</v>
      </c>
      <c r="AK102" s="14">
        <f>LEFT(AJ102, 2)-1</f>
        <v>7</v>
      </c>
      <c r="AL102" s="18"/>
      <c r="AM102" s="18"/>
    </row>
    <row r="103">
      <c r="A103" s="7" t="s">
        <v>14</v>
      </c>
      <c r="B103" s="9">
        <f>B101*B102</f>
        <v>252000</v>
      </c>
      <c r="C103" s="9">
        <f>SUM(B106:AF106)</f>
        <v>204149.1527</v>
      </c>
      <c r="D103" s="10">
        <f>C103/B103</f>
        <v>0.8101156852</v>
      </c>
      <c r="E103" s="9">
        <f>B103-C103</f>
        <v>47850.84732</v>
      </c>
      <c r="F103" s="9">
        <f>C103/AJ101*AK101</f>
        <v>904089.1047</v>
      </c>
      <c r="G103" s="45"/>
      <c r="H103" s="9"/>
      <c r="I103" s="9">
        <f>E103/(AK101-AJ101)</f>
        <v>1993.785305</v>
      </c>
      <c r="J103" s="19">
        <f>B103/AK91</f>
        <v>8129.032258</v>
      </c>
      <c r="K103" s="12">
        <f>C103/AJ75</f>
        <v>29164.16467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20"/>
      <c r="AK103" s="20"/>
      <c r="AL103" s="20"/>
      <c r="AM103" s="20"/>
    </row>
    <row r="104">
      <c r="A104" s="33" t="s">
        <v>51</v>
      </c>
      <c r="B104" s="34" t="s">
        <v>22</v>
      </c>
      <c r="C104" s="34" t="s">
        <v>23</v>
      </c>
      <c r="D104" s="34" t="s">
        <v>24</v>
      </c>
      <c r="E104" s="34" t="s">
        <v>25</v>
      </c>
      <c r="F104" s="34" t="s">
        <v>26</v>
      </c>
      <c r="G104" s="34" t="s">
        <v>20</v>
      </c>
      <c r="H104" s="34" t="s">
        <v>21</v>
      </c>
      <c r="I104" s="34" t="s">
        <v>22</v>
      </c>
      <c r="J104" s="34" t="s">
        <v>23</v>
      </c>
      <c r="K104" s="34" t="s">
        <v>24</v>
      </c>
      <c r="L104" s="34" t="s">
        <v>25</v>
      </c>
      <c r="M104" s="34" t="s">
        <v>26</v>
      </c>
      <c r="N104" s="34" t="s">
        <v>20</v>
      </c>
      <c r="O104" s="34" t="s">
        <v>21</v>
      </c>
      <c r="P104" s="34" t="s">
        <v>22</v>
      </c>
      <c r="Q104" s="34" t="s">
        <v>23</v>
      </c>
      <c r="R104" s="34" t="s">
        <v>24</v>
      </c>
      <c r="S104" s="34" t="s">
        <v>25</v>
      </c>
      <c r="T104" s="34" t="s">
        <v>26</v>
      </c>
      <c r="U104" s="34" t="s">
        <v>20</v>
      </c>
      <c r="V104" s="34" t="s">
        <v>21</v>
      </c>
      <c r="W104" s="34" t="s">
        <v>22</v>
      </c>
      <c r="X104" s="34" t="s">
        <v>23</v>
      </c>
      <c r="Y104" s="34" t="s">
        <v>24</v>
      </c>
      <c r="Z104" s="34" t="s">
        <v>25</v>
      </c>
      <c r="AA104" s="34" t="s">
        <v>26</v>
      </c>
      <c r="AB104" s="34" t="s">
        <v>20</v>
      </c>
      <c r="AC104" s="34" t="s">
        <v>21</v>
      </c>
      <c r="AD104" s="34" t="s">
        <v>22</v>
      </c>
      <c r="AE104" s="34" t="s">
        <v>23</v>
      </c>
      <c r="AF104" s="34" t="s">
        <v>24</v>
      </c>
      <c r="AG104" s="30"/>
      <c r="AH104" s="30"/>
      <c r="AI104" s="30"/>
      <c r="AJ104" s="20"/>
      <c r="AK104" s="20"/>
      <c r="AL104" s="20"/>
      <c r="AM104" s="20"/>
    </row>
    <row r="105">
      <c r="A105" s="35" t="s">
        <v>27</v>
      </c>
      <c r="B105" s="48">
        <v>44470.0</v>
      </c>
      <c r="C105" s="48">
        <v>44471.0</v>
      </c>
      <c r="D105" s="48">
        <v>44472.0</v>
      </c>
      <c r="E105" s="48">
        <v>44473.0</v>
      </c>
      <c r="F105" s="48">
        <v>44474.0</v>
      </c>
      <c r="G105" s="48">
        <v>44475.0</v>
      </c>
      <c r="H105" s="48">
        <v>44476.0</v>
      </c>
      <c r="I105" s="48">
        <v>44477.0</v>
      </c>
      <c r="J105" s="48">
        <v>44478.0</v>
      </c>
      <c r="K105" s="48">
        <v>44479.0</v>
      </c>
      <c r="L105" s="48">
        <v>44480.0</v>
      </c>
      <c r="M105" s="48">
        <v>44481.0</v>
      </c>
      <c r="N105" s="48">
        <v>44482.0</v>
      </c>
      <c r="O105" s="48">
        <v>44483.0</v>
      </c>
      <c r="P105" s="48">
        <v>44484.0</v>
      </c>
      <c r="Q105" s="48">
        <v>44485.0</v>
      </c>
      <c r="R105" s="48">
        <v>44486.0</v>
      </c>
      <c r="S105" s="48">
        <v>44487.0</v>
      </c>
      <c r="T105" s="48">
        <v>44488.0</v>
      </c>
      <c r="U105" s="48">
        <v>44489.0</v>
      </c>
      <c r="V105" s="48">
        <v>44490.0</v>
      </c>
      <c r="W105" s="48">
        <v>44491.0</v>
      </c>
      <c r="X105" s="48">
        <v>44492.0</v>
      </c>
      <c r="Y105" s="48">
        <v>44493.0</v>
      </c>
      <c r="Z105" s="48">
        <v>44494.0</v>
      </c>
      <c r="AA105" s="48">
        <v>44495.0</v>
      </c>
      <c r="AB105" s="48">
        <v>44496.0</v>
      </c>
      <c r="AC105" s="48">
        <v>44497.0</v>
      </c>
      <c r="AD105" s="48">
        <v>44498.0</v>
      </c>
      <c r="AE105" s="48">
        <v>44499.0</v>
      </c>
      <c r="AF105" s="48">
        <v>44500.0</v>
      </c>
      <c r="AG105" s="37"/>
      <c r="AH105" s="37"/>
      <c r="AI105" s="37"/>
      <c r="AJ105" s="18"/>
      <c r="AK105" s="18"/>
      <c r="AL105" s="18"/>
      <c r="AM105" s="18"/>
    </row>
    <row r="106">
      <c r="A106" s="49" t="s">
        <v>28</v>
      </c>
      <c r="B106" s="38">
        <f>1.004*3280.88</f>
        <v>3294.00352</v>
      </c>
      <c r="C106" s="38">
        <f>1.004*4333.18</f>
        <v>4350.51272</v>
      </c>
      <c r="D106" s="38">
        <f>1.004*3983.35</f>
        <v>3999.2834</v>
      </c>
      <c r="E106" s="38">
        <f>1.004*7632.52</f>
        <v>7663.05008</v>
      </c>
      <c r="F106" s="38">
        <f>1.004*6895.96</f>
        <v>6923.54384</v>
      </c>
      <c r="G106" s="41">
        <f>1.004*6630.94</f>
        <v>6657.46376</v>
      </c>
      <c r="H106" s="41">
        <f>1.004*6821.62</f>
        <v>6848.90648</v>
      </c>
      <c r="I106" s="41">
        <f>1.004*4673.27</f>
        <v>4691.96308</v>
      </c>
      <c r="J106" s="41">
        <f>1.004*4698.34</f>
        <v>4717.13336</v>
      </c>
      <c r="K106" s="41">
        <f>1.004*3897.58</f>
        <v>3913.17032</v>
      </c>
      <c r="L106" s="41">
        <f>1.004*6254.27</f>
        <v>6279.28708</v>
      </c>
      <c r="M106" s="41">
        <f>1.004*4529.23</f>
        <v>4547.34692</v>
      </c>
      <c r="N106" s="41">
        <f>1.004*5669.1</f>
        <v>5691.7764</v>
      </c>
      <c r="O106" s="41">
        <f>1.004*5973.65</f>
        <v>5997.5446</v>
      </c>
      <c r="P106" s="41">
        <f>1.004*3353.9</f>
        <v>3367.3156</v>
      </c>
      <c r="Q106" s="41">
        <f>1.004*3397.58</f>
        <v>3411.17032</v>
      </c>
      <c r="R106" s="41">
        <f>1.004*7629.62</f>
        <v>7660.13848</v>
      </c>
      <c r="S106" s="53">
        <f>1.004*8903.22
</f>
        <v>8938.83288</v>
      </c>
      <c r="T106" s="53">
        <f>1.004*6763.79</f>
        <v>6790.84516</v>
      </c>
      <c r="U106" s="53">
        <f>1.004*8606.92</f>
        <v>8641.34768</v>
      </c>
      <c r="V106" s="53">
        <f>8689.76</f>
        <v>8689.76</v>
      </c>
      <c r="W106" s="53">
        <f>1.004*6821.66</f>
        <v>6848.94664</v>
      </c>
      <c r="X106" s="53">
        <f>1.004*5046.66</f>
        <v>5066.84664</v>
      </c>
      <c r="Y106" s="53">
        <f>1.004*4099.3</f>
        <v>4115.6972</v>
      </c>
      <c r="Z106" s="53">
        <f>1.004*9293.86</f>
        <v>9331.03544</v>
      </c>
      <c r="AA106" s="53">
        <f>1.004*9111.78</f>
        <v>9148.22712</v>
      </c>
      <c r="AB106" s="53">
        <f>1.004*8532.22</f>
        <v>8566.34888</v>
      </c>
      <c r="AC106" s="41">
        <f>1.004*11094.6</f>
        <v>11138.9784</v>
      </c>
      <c r="AD106" s="53">
        <f>1.004*7804.02</f>
        <v>7835.23608</v>
      </c>
      <c r="AE106" s="53">
        <f>1.004*9526.62</f>
        <v>9564.72648</v>
      </c>
      <c r="AF106" s="53">
        <f>1.004*9421.03</f>
        <v>9458.71412</v>
      </c>
      <c r="AG106" s="51"/>
      <c r="AH106" s="51"/>
      <c r="AI106" s="51"/>
      <c r="AJ106" s="20"/>
      <c r="AK106" s="20"/>
      <c r="AL106" s="20"/>
      <c r="AM106" s="20"/>
    </row>
    <row r="107">
      <c r="A107" s="49" t="s">
        <v>29</v>
      </c>
      <c r="B107" s="38">
        <v>1.0</v>
      </c>
      <c r="C107" s="38">
        <v>1.0</v>
      </c>
      <c r="D107" s="38">
        <v>1.0</v>
      </c>
      <c r="E107" s="38">
        <v>1.0</v>
      </c>
      <c r="F107" s="38">
        <v>1.0</v>
      </c>
      <c r="G107" s="41">
        <v>1.0</v>
      </c>
      <c r="H107" s="41">
        <v>2.0</v>
      </c>
      <c r="I107" s="41">
        <v>2.0</v>
      </c>
      <c r="J107" s="41">
        <v>0.0</v>
      </c>
      <c r="K107" s="41">
        <v>2.0</v>
      </c>
      <c r="L107" s="41">
        <v>1.0</v>
      </c>
      <c r="M107" s="41">
        <v>1.0</v>
      </c>
      <c r="N107" s="41">
        <v>4.0</v>
      </c>
      <c r="O107" s="41">
        <v>2.0</v>
      </c>
      <c r="P107" s="41">
        <v>1.0</v>
      </c>
      <c r="Q107" s="41">
        <v>2.0</v>
      </c>
      <c r="R107" s="41">
        <v>5.0</v>
      </c>
      <c r="S107" s="41">
        <v>3.0</v>
      </c>
      <c r="T107" s="41">
        <v>3.0</v>
      </c>
      <c r="U107" s="41">
        <v>3.0</v>
      </c>
      <c r="V107" s="41">
        <v>5.0</v>
      </c>
      <c r="W107" s="41">
        <v>1.0</v>
      </c>
      <c r="X107" s="38">
        <v>2.0</v>
      </c>
      <c r="Y107" s="38">
        <v>2.0</v>
      </c>
      <c r="Z107" s="41">
        <v>2.0</v>
      </c>
      <c r="AA107" s="41">
        <v>3.0</v>
      </c>
      <c r="AB107" s="41">
        <v>1.0</v>
      </c>
      <c r="AC107" s="41">
        <v>7.0</v>
      </c>
      <c r="AD107" s="41">
        <v>3.0</v>
      </c>
      <c r="AE107" s="41">
        <v>6.0</v>
      </c>
      <c r="AF107" s="53">
        <v>4.0</v>
      </c>
      <c r="AG107" s="51"/>
      <c r="AH107" s="51"/>
      <c r="AI107" s="51"/>
      <c r="AJ107" s="20"/>
      <c r="AK107" s="20"/>
      <c r="AL107" s="20"/>
      <c r="AM107" s="20"/>
    </row>
    <row r="108">
      <c r="A108" s="35" t="s">
        <v>30</v>
      </c>
      <c r="B108" s="53">
        <f t="shared" ref="B108:V108" si="45">B106/B107</f>
        <v>3294.00352</v>
      </c>
      <c r="C108" s="53">
        <f t="shared" si="45"/>
        <v>4350.51272</v>
      </c>
      <c r="D108" s="55">
        <f t="shared" si="45"/>
        <v>3999.2834</v>
      </c>
      <c r="E108" s="53">
        <f t="shared" si="45"/>
        <v>7663.05008</v>
      </c>
      <c r="F108" s="53">
        <f t="shared" si="45"/>
        <v>6923.54384</v>
      </c>
      <c r="G108" s="53">
        <f t="shared" si="45"/>
        <v>6657.46376</v>
      </c>
      <c r="H108" s="53">
        <f t="shared" si="45"/>
        <v>3424.45324</v>
      </c>
      <c r="I108" s="53">
        <f t="shared" si="45"/>
        <v>2345.98154</v>
      </c>
      <c r="J108" s="53" t="str">
        <f t="shared" si="45"/>
        <v>#DIV/0!</v>
      </c>
      <c r="K108" s="53">
        <f t="shared" si="45"/>
        <v>1956.58516</v>
      </c>
      <c r="L108" s="53">
        <f t="shared" si="45"/>
        <v>6279.28708</v>
      </c>
      <c r="M108" s="53">
        <f t="shared" si="45"/>
        <v>4547.34692</v>
      </c>
      <c r="N108" s="53">
        <f t="shared" si="45"/>
        <v>1422.9441</v>
      </c>
      <c r="O108" s="53">
        <f t="shared" si="45"/>
        <v>2998.7723</v>
      </c>
      <c r="P108" s="53">
        <f t="shared" si="45"/>
        <v>3367.3156</v>
      </c>
      <c r="Q108" s="53">
        <f t="shared" si="45"/>
        <v>1705.58516</v>
      </c>
      <c r="R108" s="53">
        <f t="shared" si="45"/>
        <v>1532.027696</v>
      </c>
      <c r="S108" s="53">
        <f t="shared" si="45"/>
        <v>2979.61096</v>
      </c>
      <c r="T108" s="41">
        <f t="shared" si="45"/>
        <v>2263.615053</v>
      </c>
      <c r="U108" s="41">
        <f t="shared" si="45"/>
        <v>2880.449227</v>
      </c>
      <c r="V108" s="41">
        <f t="shared" si="45"/>
        <v>1737.952</v>
      </c>
      <c r="W108" s="41">
        <f>Y106/W107</f>
        <v>4115.6972</v>
      </c>
      <c r="X108" s="41">
        <f>X106/X107</f>
        <v>2533.42332</v>
      </c>
      <c r="Y108" s="41" t="str">
        <f>#REF!/Y107</f>
        <v>#REF!</v>
      </c>
      <c r="Z108" s="41">
        <f t="shared" ref="Z108:AF108" si="46">Z106/Z107</f>
        <v>4665.51772</v>
      </c>
      <c r="AA108" s="41">
        <f t="shared" si="46"/>
        <v>3049.40904</v>
      </c>
      <c r="AB108" s="41">
        <f t="shared" si="46"/>
        <v>8566.34888</v>
      </c>
      <c r="AC108" s="41">
        <f t="shared" si="46"/>
        <v>1591.282629</v>
      </c>
      <c r="AD108" s="53">
        <f t="shared" si="46"/>
        <v>2611.74536</v>
      </c>
      <c r="AE108" s="53">
        <f t="shared" si="46"/>
        <v>1594.12108</v>
      </c>
      <c r="AF108" s="53">
        <f t="shared" si="46"/>
        <v>2364.67853</v>
      </c>
      <c r="AG108" s="55"/>
      <c r="AH108" s="55"/>
      <c r="AI108" s="55"/>
      <c r="AJ108" s="40"/>
      <c r="AK108" s="40"/>
      <c r="AL108" s="40"/>
      <c r="AM108" s="40"/>
    </row>
    <row r="109">
      <c r="A109" s="25"/>
      <c r="B109" s="22"/>
      <c r="C109" s="23"/>
      <c r="D109" s="23"/>
      <c r="E109" s="23"/>
      <c r="F109" s="23"/>
      <c r="G109" s="23"/>
      <c r="H109" s="23"/>
      <c r="I109" s="23"/>
      <c r="J109" s="23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0"/>
      <c r="AK109" s="20"/>
      <c r="AL109" s="20"/>
      <c r="AM109" s="20"/>
    </row>
    <row r="110">
      <c r="A110" s="25"/>
      <c r="B110" s="22"/>
      <c r="C110" s="23"/>
      <c r="D110" s="23"/>
      <c r="E110" s="23"/>
      <c r="F110" s="23"/>
      <c r="G110" s="23"/>
      <c r="H110" s="23"/>
      <c r="I110" s="23"/>
      <c r="J110" s="23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0"/>
      <c r="AK110" s="20"/>
      <c r="AL110" s="20"/>
      <c r="AM110" s="20"/>
    </row>
    <row r="111">
      <c r="A111" s="25" t="s">
        <v>52</v>
      </c>
      <c r="B111" s="22"/>
      <c r="C111" s="23"/>
      <c r="D111" s="23"/>
      <c r="E111" s="23"/>
      <c r="F111" s="23"/>
      <c r="G111" s="23"/>
      <c r="H111" s="23"/>
      <c r="I111" s="23"/>
      <c r="J111" s="23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0"/>
      <c r="AK111" s="20"/>
      <c r="AL111" s="20"/>
      <c r="AM111" s="20"/>
    </row>
    <row r="112" ht="33.0" customHeight="1">
      <c r="A112" s="1" t="s">
        <v>53</v>
      </c>
      <c r="B112" s="2" t="s">
        <v>1</v>
      </c>
      <c r="C112" s="3" t="s">
        <v>2</v>
      </c>
      <c r="D112" s="3" t="s">
        <v>3</v>
      </c>
      <c r="E112" s="3" t="s">
        <v>4</v>
      </c>
      <c r="F112" s="4" t="s">
        <v>5</v>
      </c>
      <c r="G112" s="4" t="s">
        <v>6</v>
      </c>
      <c r="H112" s="5" t="s">
        <v>7</v>
      </c>
      <c r="I112" s="5" t="s">
        <v>8</v>
      </c>
      <c r="J112" s="5" t="s">
        <v>9</v>
      </c>
      <c r="K112" s="5" t="s">
        <v>10</v>
      </c>
      <c r="L112" s="5" t="s">
        <v>11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>
      <c r="A113" s="7" t="s">
        <v>12</v>
      </c>
      <c r="B113" s="9">
        <f t="shared" ref="B113:C113" si="47">B119+B129+B139</f>
        <v>190</v>
      </c>
      <c r="C113" s="9">
        <f t="shared" si="47"/>
        <v>203</v>
      </c>
      <c r="D113" s="10">
        <f t="shared" ref="D113:D115" si="49">C113/B113</f>
        <v>1.068421053</v>
      </c>
      <c r="E113" s="9">
        <f>B113-C113</f>
        <v>-13</v>
      </c>
      <c r="F113" s="9">
        <f>C113/AJ113*AK113</f>
        <v>899</v>
      </c>
      <c r="G113" s="10">
        <f t="shared" ref="G113:G115" si="50">F113/B113</f>
        <v>4.731578947</v>
      </c>
      <c r="H113" s="9">
        <f>F113-B113</f>
        <v>709</v>
      </c>
      <c r="I113" s="11">
        <f>E113/(AK113-AJ113)</f>
        <v>-0.5416666667</v>
      </c>
      <c r="J113" s="12">
        <f>B113/AK113</f>
        <v>6.129032258</v>
      </c>
      <c r="K113" s="12">
        <f>C113/AJ113</f>
        <v>29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4">
        <f>AK114</f>
        <v>7</v>
      </c>
      <c r="AK113" s="14" t="str">
        <f>AM113</f>
        <v>31</v>
      </c>
      <c r="AL113" s="15">
        <f>DATE(YEAR(TODAY()),MONTH(TODAY())+1,1)-1</f>
        <v>44561</v>
      </c>
      <c r="AM113" s="14" t="str">
        <f>LEFT(AL113, 2)</f>
        <v>31</v>
      </c>
    </row>
    <row r="114">
      <c r="A114" s="7" t="s">
        <v>13</v>
      </c>
      <c r="B114" s="9">
        <f t="shared" ref="B114:C114" si="48">B115/B113</f>
        <v>4263.157895</v>
      </c>
      <c r="C114" s="9">
        <f t="shared" si="48"/>
        <v>3439.211823</v>
      </c>
      <c r="D114" s="10">
        <f t="shared" si="49"/>
        <v>0.8067286991</v>
      </c>
      <c r="E114" s="16"/>
      <c r="F114" s="8">
        <f>F115/F113</f>
        <v>3439.211823</v>
      </c>
      <c r="G114" s="10">
        <f t="shared" si="50"/>
        <v>0.8067286991</v>
      </c>
      <c r="H114" s="16"/>
      <c r="I114" s="16"/>
      <c r="J114" s="13"/>
      <c r="K114" s="12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7">
        <f>TODAY()</f>
        <v>44538</v>
      </c>
      <c r="AK114" s="14">
        <f>LEFT(AJ114, 2)-1</f>
        <v>7</v>
      </c>
      <c r="AL114" s="18"/>
      <c r="AM114" s="18"/>
    </row>
    <row r="115">
      <c r="A115" s="7" t="s">
        <v>14</v>
      </c>
      <c r="B115" s="9">
        <f t="shared" ref="B115:C115" si="51">B121+B131+B141</f>
        <v>810000</v>
      </c>
      <c r="C115" s="9">
        <f t="shared" si="51"/>
        <v>698160</v>
      </c>
      <c r="D115" s="10">
        <f t="shared" si="49"/>
        <v>0.8619259259</v>
      </c>
      <c r="E115" s="9">
        <f>B115-C115</f>
        <v>111840</v>
      </c>
      <c r="F115" s="9">
        <f>C115/AJ113*AK113</f>
        <v>3091851.429</v>
      </c>
      <c r="G115" s="10">
        <f t="shared" si="50"/>
        <v>3.817100529</v>
      </c>
      <c r="H115" s="9">
        <f>F115-B115</f>
        <v>2281851.429</v>
      </c>
      <c r="I115" s="19">
        <f>E115/(AK113-AJ113)</f>
        <v>4660</v>
      </c>
      <c r="J115" s="13">
        <f>B115/AK113</f>
        <v>26129.03226</v>
      </c>
      <c r="K115" s="12">
        <f>C115/AJ113</f>
        <v>99737.14286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20"/>
      <c r="AK115" s="20"/>
      <c r="AL115" s="20"/>
      <c r="AM115" s="20"/>
    </row>
    <row r="116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0"/>
      <c r="AK116" s="20"/>
      <c r="AL116" s="20"/>
      <c r="AM116" s="20"/>
    </row>
    <row r="117">
      <c r="A117" s="25" t="s">
        <v>15</v>
      </c>
      <c r="B117" s="22"/>
      <c r="C117" s="23"/>
      <c r="D117" s="23"/>
      <c r="E117" s="23"/>
      <c r="F117" s="23"/>
      <c r="G117" s="23"/>
      <c r="H117" s="23"/>
      <c r="I117" s="23"/>
      <c r="J117" s="23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0"/>
      <c r="AK117" s="20"/>
      <c r="AL117" s="20"/>
      <c r="AM117" s="20"/>
    </row>
    <row r="118">
      <c r="A118" s="26" t="s">
        <v>54</v>
      </c>
      <c r="B118" s="27" t="s">
        <v>1</v>
      </c>
      <c r="C118" s="28" t="s">
        <v>2</v>
      </c>
      <c r="D118" s="28" t="s">
        <v>3</v>
      </c>
      <c r="E118" s="28" t="s">
        <v>4</v>
      </c>
      <c r="F118" s="29" t="s">
        <v>5</v>
      </c>
      <c r="G118" s="29" t="s">
        <v>6</v>
      </c>
      <c r="H118" s="28" t="s">
        <v>7</v>
      </c>
      <c r="I118" s="28" t="s">
        <v>8</v>
      </c>
      <c r="J118" s="28" t="s">
        <v>9</v>
      </c>
      <c r="K118" s="29" t="s">
        <v>10</v>
      </c>
      <c r="L118" s="29" t="s">
        <v>17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0"/>
      <c r="AK118" s="20"/>
      <c r="AL118" s="20"/>
      <c r="AM118" s="20"/>
    </row>
    <row r="119">
      <c r="A119" s="7" t="s">
        <v>12</v>
      </c>
      <c r="B119" s="9">
        <v>110.0</v>
      </c>
      <c r="C119" s="8">
        <v>134.0</v>
      </c>
      <c r="D119" s="10">
        <f t="shared" ref="D119:D121" si="53">C119/B119</f>
        <v>1.218181818</v>
      </c>
      <c r="E119" s="19">
        <f>B119-C119</f>
        <v>-24</v>
      </c>
      <c r="F119" s="9">
        <f>C119/AJ119*AK119</f>
        <v>593.4285714</v>
      </c>
      <c r="G119" s="10">
        <f t="shared" ref="G119:G121" si="54">F119/B119</f>
        <v>5.394805195</v>
      </c>
      <c r="H119" s="9">
        <f>F119-B119</f>
        <v>483.4285714</v>
      </c>
      <c r="I119" s="19">
        <f>E119/(AK119-AJ119)</f>
        <v>-1</v>
      </c>
      <c r="J119" s="12">
        <f>B119/AK119</f>
        <v>3.548387097</v>
      </c>
      <c r="K119" s="12">
        <f>C119/AJ113</f>
        <v>19.14285714</v>
      </c>
      <c r="L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4">
        <f>AK120</f>
        <v>7</v>
      </c>
      <c r="AK119" s="14" t="str">
        <f>AM119</f>
        <v>31</v>
      </c>
      <c r="AL119" s="15">
        <f>DATE(YEAR(TODAY()),MONTH(TODAY())+1,1)-1</f>
        <v>44561</v>
      </c>
      <c r="AM119" s="14" t="str">
        <f>LEFT(AL119, 2)</f>
        <v>31</v>
      </c>
    </row>
    <row r="120">
      <c r="A120" s="7" t="s">
        <v>18</v>
      </c>
      <c r="B120" s="9">
        <f t="shared" ref="B120:C120" si="52">B121/B119</f>
        <v>4500</v>
      </c>
      <c r="C120" s="9">
        <f t="shared" si="52"/>
        <v>3845.835821</v>
      </c>
      <c r="D120" s="10">
        <f t="shared" si="53"/>
        <v>0.8546301824</v>
      </c>
      <c r="E120" s="13"/>
      <c r="F120" s="9">
        <f>F121/F119</f>
        <v>3845.835821</v>
      </c>
      <c r="G120" s="10">
        <f t="shared" si="54"/>
        <v>0.8546301824</v>
      </c>
      <c r="H120" s="13"/>
      <c r="I120" s="9"/>
      <c r="J120" s="13"/>
      <c r="K120" s="12"/>
      <c r="L120" s="13"/>
      <c r="N120" s="13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17">
        <f>TODAY()</f>
        <v>44538</v>
      </c>
      <c r="AK120" s="14">
        <f>LEFT(AJ120, 2)-1</f>
        <v>7</v>
      </c>
      <c r="AL120" s="18"/>
      <c r="AM120" s="18"/>
    </row>
    <row r="121">
      <c r="A121" s="7" t="s">
        <v>14</v>
      </c>
      <c r="B121" s="9">
        <v>495000.0</v>
      </c>
      <c r="C121" s="8">
        <v>515342.0</v>
      </c>
      <c r="D121" s="10">
        <f t="shared" si="53"/>
        <v>1.041094949</v>
      </c>
      <c r="E121" s="9">
        <f>B121-C121</f>
        <v>-20342</v>
      </c>
      <c r="F121" s="9">
        <f>C121/AJ119*AK119</f>
        <v>2282228.857</v>
      </c>
      <c r="G121" s="10">
        <f t="shared" si="54"/>
        <v>4.610563348</v>
      </c>
      <c r="H121" s="9">
        <f>F121-B121</f>
        <v>1787228.857</v>
      </c>
      <c r="I121" s="9">
        <f>E121/(AK119-AJ119)</f>
        <v>-847.5833333</v>
      </c>
      <c r="J121" s="19">
        <f>B121/AK119</f>
        <v>15967.74194</v>
      </c>
      <c r="K121" s="12">
        <f>C121/AJ113</f>
        <v>73620.28571</v>
      </c>
      <c r="L121" s="32">
        <f>(I121+I131)/1.2/1.004</f>
        <v>1439.727202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20"/>
      <c r="AK121" s="20"/>
      <c r="AL121" s="20"/>
      <c r="AM121" s="20"/>
    </row>
    <row r="122">
      <c r="A122" s="33" t="s">
        <v>55</v>
      </c>
      <c r="B122" s="69" t="s">
        <v>20</v>
      </c>
      <c r="C122" s="69" t="s">
        <v>21</v>
      </c>
      <c r="D122" s="69" t="s">
        <v>22</v>
      </c>
      <c r="E122" s="69" t="s">
        <v>23</v>
      </c>
      <c r="F122" s="69" t="s">
        <v>24</v>
      </c>
      <c r="G122" s="69" t="s">
        <v>25</v>
      </c>
      <c r="H122" s="69" t="s">
        <v>26</v>
      </c>
      <c r="I122" s="69" t="s">
        <v>20</v>
      </c>
      <c r="J122" s="69" t="s">
        <v>21</v>
      </c>
      <c r="K122" s="69" t="s">
        <v>22</v>
      </c>
      <c r="L122" s="69" t="s">
        <v>23</v>
      </c>
      <c r="M122" s="69" t="s">
        <v>24</v>
      </c>
      <c r="N122" s="69" t="s">
        <v>25</v>
      </c>
      <c r="O122" s="69" t="s">
        <v>26</v>
      </c>
      <c r="P122" s="69" t="s">
        <v>20</v>
      </c>
      <c r="Q122" s="69" t="s">
        <v>21</v>
      </c>
      <c r="R122" s="69" t="s">
        <v>22</v>
      </c>
      <c r="S122" s="69" t="s">
        <v>23</v>
      </c>
      <c r="T122" s="69" t="s">
        <v>24</v>
      </c>
      <c r="U122" s="69" t="s">
        <v>25</v>
      </c>
      <c r="V122" s="69" t="s">
        <v>26</v>
      </c>
      <c r="W122" s="69" t="s">
        <v>20</v>
      </c>
      <c r="X122" s="69" t="s">
        <v>21</v>
      </c>
      <c r="Y122" s="69" t="s">
        <v>22</v>
      </c>
      <c r="Z122" s="69" t="s">
        <v>23</v>
      </c>
      <c r="AA122" s="69" t="s">
        <v>24</v>
      </c>
      <c r="AB122" s="69" t="s">
        <v>25</v>
      </c>
      <c r="AC122" s="69" t="s">
        <v>26</v>
      </c>
      <c r="AD122" s="69" t="s">
        <v>20</v>
      </c>
      <c r="AE122" s="69" t="s">
        <v>21</v>
      </c>
      <c r="AF122" s="69"/>
      <c r="AG122" s="30"/>
      <c r="AH122" s="30"/>
      <c r="AI122" s="30"/>
      <c r="AJ122" s="20"/>
      <c r="AK122" s="20"/>
      <c r="AL122" s="20"/>
      <c r="AM122" s="20"/>
    </row>
    <row r="123">
      <c r="A123" s="35" t="s">
        <v>27</v>
      </c>
      <c r="B123" s="70">
        <v>44440.0</v>
      </c>
      <c r="C123" s="70">
        <v>44441.0</v>
      </c>
      <c r="D123" s="70">
        <v>44442.0</v>
      </c>
      <c r="E123" s="70">
        <v>44443.0</v>
      </c>
      <c r="F123" s="70">
        <v>44444.0</v>
      </c>
      <c r="G123" s="70">
        <v>44445.0</v>
      </c>
      <c r="H123" s="70">
        <v>44446.0</v>
      </c>
      <c r="I123" s="70">
        <v>44447.0</v>
      </c>
      <c r="J123" s="70">
        <v>44448.0</v>
      </c>
      <c r="K123" s="70">
        <v>44449.0</v>
      </c>
      <c r="L123" s="70">
        <v>44450.0</v>
      </c>
      <c r="M123" s="70">
        <v>44451.0</v>
      </c>
      <c r="N123" s="70">
        <v>44452.0</v>
      </c>
      <c r="O123" s="70">
        <v>44453.0</v>
      </c>
      <c r="P123" s="70">
        <v>44454.0</v>
      </c>
      <c r="Q123" s="70">
        <v>44455.0</v>
      </c>
      <c r="R123" s="70">
        <v>44456.0</v>
      </c>
      <c r="S123" s="70">
        <v>44457.0</v>
      </c>
      <c r="T123" s="70">
        <v>44458.0</v>
      </c>
      <c r="U123" s="70">
        <v>44459.0</v>
      </c>
      <c r="V123" s="70">
        <v>44460.0</v>
      </c>
      <c r="W123" s="70">
        <v>44461.0</v>
      </c>
      <c r="X123" s="70">
        <v>44462.0</v>
      </c>
      <c r="Y123" s="70">
        <v>44463.0</v>
      </c>
      <c r="Z123" s="70">
        <v>44464.0</v>
      </c>
      <c r="AA123" s="70">
        <v>44465.0</v>
      </c>
      <c r="AB123" s="70">
        <v>44466.0</v>
      </c>
      <c r="AC123" s="70">
        <v>44467.0</v>
      </c>
      <c r="AD123" s="70">
        <v>44468.0</v>
      </c>
      <c r="AE123" s="70">
        <v>44469.0</v>
      </c>
      <c r="AF123" s="70"/>
      <c r="AG123" s="37"/>
      <c r="AH123" s="37"/>
      <c r="AI123" s="37"/>
      <c r="AJ123" s="18"/>
      <c r="AK123" s="18"/>
      <c r="AL123" s="18"/>
      <c r="AM123" s="18"/>
    </row>
    <row r="124">
      <c r="A124" s="35" t="s">
        <v>28</v>
      </c>
      <c r="B124" s="39">
        <f>1.004*26050.94</f>
        <v>26155.14376</v>
      </c>
      <c r="C124" s="39">
        <f>1.004*27757.47</f>
        <v>27868.49988</v>
      </c>
      <c r="D124" s="39">
        <f>1.004*26050.86</f>
        <v>26155.06344</v>
      </c>
      <c r="E124" s="39">
        <f>1.004*17213.41</f>
        <v>17282.26364</v>
      </c>
      <c r="F124" s="39">
        <f>1.004*18672.71</f>
        <v>18747.40084</v>
      </c>
      <c r="G124" s="39">
        <f>1.004*22038.19</f>
        <v>22126.34276</v>
      </c>
      <c r="H124" s="39">
        <f>1.004*15828.72</f>
        <v>15892.03488</v>
      </c>
      <c r="I124" s="39">
        <f>1.004*18091.55</f>
        <v>18163.9162</v>
      </c>
      <c r="J124" s="39">
        <f>1.004*13505.58 </f>
        <v>13559.60232</v>
      </c>
      <c r="K124" s="39">
        <f>1.004*17133.21</f>
        <v>17201.74284</v>
      </c>
      <c r="L124" s="39">
        <f>1.004*9677.36</f>
        <v>9716.06944</v>
      </c>
      <c r="M124" s="39">
        <f>1.004*12172.25</f>
        <v>12220.939</v>
      </c>
      <c r="N124" s="39">
        <f>1.004*15415.66</f>
        <v>15477.32264</v>
      </c>
      <c r="O124" s="39">
        <f>1.004*14884.07 </f>
        <v>14943.60628</v>
      </c>
      <c r="P124" s="39">
        <f>1.004*17372.1</f>
        <v>17441.5884</v>
      </c>
      <c r="Q124" s="39">
        <f>1.004*18339.72</f>
        <v>18413.07888</v>
      </c>
      <c r="R124" s="39">
        <f>1.004*18207.13 </f>
        <v>18279.95852</v>
      </c>
      <c r="S124" s="39">
        <f>1.004*12616.66</f>
        <v>12667.12664</v>
      </c>
      <c r="T124" s="39">
        <f>1.004*12043.96</f>
        <v>12092.13584</v>
      </c>
      <c r="U124" s="39">
        <f>1.004*18219.26</f>
        <v>18292.13704</v>
      </c>
      <c r="V124" s="39">
        <f>1.004*18394.14</f>
        <v>18467.71656</v>
      </c>
      <c r="W124" s="39">
        <f>1.004*18612.22 </f>
        <v>18686.66888</v>
      </c>
      <c r="X124" s="39">
        <f>1.004*17078.47</f>
        <v>17146.78388</v>
      </c>
      <c r="Y124" s="39">
        <f>1.004*16963.04 </f>
        <v>17030.89216</v>
      </c>
      <c r="Z124" s="39">
        <f>1.004*8419.41</f>
        <v>8453.08764</v>
      </c>
      <c r="AA124" s="39">
        <f>1.004*11249.7</f>
        <v>11294.6988</v>
      </c>
      <c r="AB124" s="39">
        <f>1.004*18643.23 </f>
        <v>18717.80292</v>
      </c>
      <c r="AC124" s="39">
        <f>1.004*17223.95</f>
        <v>17292.8458</v>
      </c>
      <c r="AD124" s="39">
        <f>1.004*17858.31</f>
        <v>17929.74324</v>
      </c>
      <c r="AE124" s="39">
        <f>1.004*17742.59 </f>
        <v>17813.56036</v>
      </c>
      <c r="AF124" s="54"/>
      <c r="AG124" s="23"/>
      <c r="AH124" s="23"/>
      <c r="AI124" s="23"/>
      <c r="AJ124" s="40"/>
      <c r="AK124" s="40"/>
      <c r="AL124" s="40"/>
      <c r="AM124" s="40"/>
    </row>
    <row r="125">
      <c r="A125" s="35" t="s">
        <v>29</v>
      </c>
      <c r="B125" s="39">
        <v>8.0</v>
      </c>
      <c r="C125" s="39">
        <v>7.0</v>
      </c>
      <c r="D125" s="39">
        <v>4.0</v>
      </c>
      <c r="E125" s="39">
        <v>7.0</v>
      </c>
      <c r="F125" s="39">
        <v>6.0</v>
      </c>
      <c r="G125" s="38">
        <v>2.0</v>
      </c>
      <c r="H125" s="38">
        <v>3.0</v>
      </c>
      <c r="I125" s="38">
        <v>4.0</v>
      </c>
      <c r="J125" s="38">
        <v>4.0</v>
      </c>
      <c r="K125" s="38">
        <v>5.0</v>
      </c>
      <c r="L125" s="38">
        <v>3.0</v>
      </c>
      <c r="M125" s="38">
        <v>3.0</v>
      </c>
      <c r="N125" s="38">
        <v>2.0</v>
      </c>
      <c r="O125" s="38">
        <v>7.0</v>
      </c>
      <c r="P125" s="38">
        <v>4.0</v>
      </c>
      <c r="Q125" s="38">
        <v>8.0</v>
      </c>
      <c r="R125" s="38">
        <v>6.0</v>
      </c>
      <c r="S125" s="53">
        <v>1.0</v>
      </c>
      <c r="T125" s="53">
        <v>2.0</v>
      </c>
      <c r="U125" s="39">
        <v>3.0</v>
      </c>
      <c r="V125" s="39">
        <v>5.0</v>
      </c>
      <c r="W125" s="38">
        <v>6.0</v>
      </c>
      <c r="X125" s="38">
        <v>3.0</v>
      </c>
      <c r="Y125" s="38">
        <v>5.0</v>
      </c>
      <c r="Z125" s="38">
        <v>4.0</v>
      </c>
      <c r="AA125" s="39">
        <v>1.0</v>
      </c>
      <c r="AB125" s="39">
        <v>4.0</v>
      </c>
      <c r="AC125" s="39">
        <v>6.0</v>
      </c>
      <c r="AD125" s="39">
        <v>3.0</v>
      </c>
      <c r="AE125" s="39">
        <v>3.0</v>
      </c>
      <c r="AF125" s="54"/>
      <c r="AG125" s="23"/>
      <c r="AH125" s="23"/>
      <c r="AI125" s="23"/>
      <c r="AJ125" s="40"/>
      <c r="AK125" s="40"/>
      <c r="AL125" s="40"/>
      <c r="AM125" s="40"/>
    </row>
    <row r="126">
      <c r="A126" s="35" t="s">
        <v>30</v>
      </c>
      <c r="B126" s="39">
        <f t="shared" ref="B126:AF126" si="55">B124/B125</f>
        <v>3269.39297</v>
      </c>
      <c r="C126" s="39">
        <f t="shared" si="55"/>
        <v>3981.214269</v>
      </c>
      <c r="D126" s="39">
        <f t="shared" si="55"/>
        <v>6538.76586</v>
      </c>
      <c r="E126" s="39">
        <f t="shared" si="55"/>
        <v>2468.894806</v>
      </c>
      <c r="F126" s="39">
        <f t="shared" si="55"/>
        <v>3124.566807</v>
      </c>
      <c r="G126" s="39">
        <f t="shared" si="55"/>
        <v>11063.17138</v>
      </c>
      <c r="H126" s="39">
        <f t="shared" si="55"/>
        <v>5297.34496</v>
      </c>
      <c r="I126" s="39">
        <f t="shared" si="55"/>
        <v>4540.97905</v>
      </c>
      <c r="J126" s="39">
        <f t="shared" si="55"/>
        <v>3389.90058</v>
      </c>
      <c r="K126" s="39">
        <f t="shared" si="55"/>
        <v>3440.348568</v>
      </c>
      <c r="L126" s="39">
        <f t="shared" si="55"/>
        <v>3238.689813</v>
      </c>
      <c r="M126" s="39">
        <f t="shared" si="55"/>
        <v>4073.646333</v>
      </c>
      <c r="N126" s="39">
        <f t="shared" si="55"/>
        <v>7738.66132</v>
      </c>
      <c r="O126" s="39">
        <f t="shared" si="55"/>
        <v>2134.800897</v>
      </c>
      <c r="P126" s="39">
        <f t="shared" si="55"/>
        <v>4360.3971</v>
      </c>
      <c r="Q126" s="39">
        <f t="shared" si="55"/>
        <v>2301.63486</v>
      </c>
      <c r="R126" s="39">
        <f t="shared" si="55"/>
        <v>3046.659753</v>
      </c>
      <c r="S126" s="39">
        <f t="shared" si="55"/>
        <v>12667.12664</v>
      </c>
      <c r="T126" s="39">
        <f t="shared" si="55"/>
        <v>6046.06792</v>
      </c>
      <c r="U126" s="39">
        <f t="shared" si="55"/>
        <v>6097.379013</v>
      </c>
      <c r="V126" s="39">
        <f t="shared" si="55"/>
        <v>3693.543312</v>
      </c>
      <c r="W126" s="39">
        <f t="shared" si="55"/>
        <v>3114.444813</v>
      </c>
      <c r="X126" s="39">
        <f t="shared" si="55"/>
        <v>5715.594627</v>
      </c>
      <c r="Y126" s="39">
        <f t="shared" si="55"/>
        <v>3406.178432</v>
      </c>
      <c r="Z126" s="39">
        <f t="shared" si="55"/>
        <v>2113.27191</v>
      </c>
      <c r="AA126" s="39">
        <f t="shared" si="55"/>
        <v>11294.6988</v>
      </c>
      <c r="AB126" s="39">
        <f t="shared" si="55"/>
        <v>4679.45073</v>
      </c>
      <c r="AC126" s="39">
        <f t="shared" si="55"/>
        <v>2882.140967</v>
      </c>
      <c r="AD126" s="39">
        <f t="shared" si="55"/>
        <v>5976.58108</v>
      </c>
      <c r="AE126" s="39">
        <f t="shared" si="55"/>
        <v>5937.853453</v>
      </c>
      <c r="AF126" s="54" t="str">
        <f t="shared" si="55"/>
        <v>#DIV/0!</v>
      </c>
      <c r="AG126" s="23"/>
      <c r="AH126" s="23"/>
      <c r="AI126" s="23"/>
      <c r="AJ126" s="40"/>
      <c r="AK126" s="40"/>
      <c r="AL126" s="40"/>
      <c r="AM126" s="40"/>
    </row>
    <row r="127">
      <c r="A127" s="42"/>
      <c r="B127" s="43"/>
      <c r="C127" s="44"/>
      <c r="D127" s="44"/>
      <c r="E127" s="44"/>
      <c r="F127" s="44"/>
      <c r="G127" s="44"/>
      <c r="H127" s="44"/>
      <c r="I127" s="44"/>
      <c r="J127" s="44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20"/>
      <c r="AK127" s="20"/>
      <c r="AL127" s="20"/>
      <c r="AM127" s="20"/>
    </row>
    <row r="128">
      <c r="A128" s="71" t="s">
        <v>56</v>
      </c>
      <c r="B128" s="27" t="s">
        <v>1</v>
      </c>
      <c r="C128" s="28" t="s">
        <v>2</v>
      </c>
      <c r="D128" s="28" t="s">
        <v>3</v>
      </c>
      <c r="E128" s="28" t="s">
        <v>4</v>
      </c>
      <c r="F128" s="29" t="s">
        <v>5</v>
      </c>
      <c r="G128" s="29" t="s">
        <v>6</v>
      </c>
      <c r="H128" s="28" t="s">
        <v>7</v>
      </c>
      <c r="I128" s="28" t="s">
        <v>8</v>
      </c>
      <c r="J128" s="28" t="s">
        <v>9</v>
      </c>
      <c r="K128" s="28" t="s">
        <v>10</v>
      </c>
      <c r="L128" s="28" t="s">
        <v>11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20"/>
      <c r="AK128" s="20"/>
      <c r="AL128" s="20"/>
      <c r="AM128" s="20"/>
    </row>
    <row r="129">
      <c r="A129" s="7" t="s">
        <v>12</v>
      </c>
      <c r="B129" s="9">
        <v>30.0</v>
      </c>
      <c r="C129" s="9">
        <f>SUM(B135:AF135)</f>
        <v>9</v>
      </c>
      <c r="D129" s="10">
        <f t="shared" ref="D129:D131" si="57">C129/B129</f>
        <v>0.3</v>
      </c>
      <c r="E129" s="19">
        <f>B129-C129</f>
        <v>21</v>
      </c>
      <c r="F129" s="9">
        <f>C129/AJ129*AK129</f>
        <v>39.85714286</v>
      </c>
      <c r="G129" s="45">
        <f t="shared" ref="G129:G131" si="58">F129/B129</f>
        <v>1.328571429</v>
      </c>
      <c r="H129" s="9">
        <f>F129-B129</f>
        <v>9.857142857</v>
      </c>
      <c r="I129" s="19">
        <f>E129/(AK129-AJ129)</f>
        <v>0.875</v>
      </c>
      <c r="J129" s="12">
        <f>B129/AK129</f>
        <v>0.9677419355</v>
      </c>
      <c r="K129" s="46">
        <f>C129/AJ113</f>
        <v>1.285714286</v>
      </c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4">
        <f>AK130</f>
        <v>7</v>
      </c>
      <c r="AK129" s="14" t="str">
        <f>AM129</f>
        <v>31</v>
      </c>
      <c r="AL129" s="15">
        <f>DATE(YEAR(TODAY()),MONTH(TODAY())+1,1)-1</f>
        <v>44561</v>
      </c>
      <c r="AM129" s="14" t="str">
        <f>LEFT(AL129, 2)</f>
        <v>31</v>
      </c>
    </row>
    <row r="130">
      <c r="A130" s="7" t="s">
        <v>13</v>
      </c>
      <c r="B130" s="9">
        <f t="shared" ref="B130:C130" si="56">B131/B129</f>
        <v>3000</v>
      </c>
      <c r="C130" s="9">
        <f t="shared" si="56"/>
        <v>3114.222222</v>
      </c>
      <c r="D130" s="10">
        <f t="shared" si="57"/>
        <v>1.038074074</v>
      </c>
      <c r="E130" s="12"/>
      <c r="F130" s="9">
        <f>F131/F129</f>
        <v>3114.222222</v>
      </c>
      <c r="G130" s="45">
        <f t="shared" si="58"/>
        <v>1.038074074</v>
      </c>
      <c r="H130" s="13"/>
      <c r="I130" s="9"/>
      <c r="J130" s="13"/>
      <c r="K130" s="12"/>
      <c r="L130" s="13"/>
      <c r="M130" s="13"/>
      <c r="N130" s="13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17">
        <f>TODAY()</f>
        <v>44538</v>
      </c>
      <c r="AK130" s="14">
        <f>LEFT(AJ130, 2)-1</f>
        <v>7</v>
      </c>
      <c r="AL130" s="18"/>
      <c r="AM130" s="18"/>
    </row>
    <row r="131">
      <c r="A131" s="7" t="s">
        <v>14</v>
      </c>
      <c r="B131" s="9">
        <v>90000.0</v>
      </c>
      <c r="C131" s="8">
        <v>28028.0</v>
      </c>
      <c r="D131" s="10">
        <f t="shared" si="57"/>
        <v>0.3114222222</v>
      </c>
      <c r="E131" s="9">
        <f>B131-C131</f>
        <v>61972</v>
      </c>
      <c r="F131" s="9">
        <f>C131/AJ129*AK129</f>
        <v>124124</v>
      </c>
      <c r="G131" s="45">
        <f t="shared" si="58"/>
        <v>1.379155556</v>
      </c>
      <c r="H131" s="9">
        <f>F131-B131</f>
        <v>34124</v>
      </c>
      <c r="I131" s="9">
        <f>E131/(AK129-AJ129)</f>
        <v>2582.166667</v>
      </c>
      <c r="J131" s="19">
        <f>B131/AK129</f>
        <v>2903.225806</v>
      </c>
      <c r="K131" s="47">
        <f>C131/AJ113</f>
        <v>4004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20"/>
      <c r="AK131" s="20"/>
      <c r="AL131" s="20"/>
      <c r="AM131" s="20"/>
    </row>
    <row r="132">
      <c r="A132" s="33" t="s">
        <v>57</v>
      </c>
      <c r="B132" s="69" t="s">
        <v>20</v>
      </c>
      <c r="C132" s="69" t="s">
        <v>21</v>
      </c>
      <c r="D132" s="69" t="s">
        <v>22</v>
      </c>
      <c r="E132" s="69" t="s">
        <v>23</v>
      </c>
      <c r="F132" s="69" t="s">
        <v>24</v>
      </c>
      <c r="G132" s="69" t="s">
        <v>25</v>
      </c>
      <c r="H132" s="69" t="s">
        <v>26</v>
      </c>
      <c r="I132" s="69" t="s">
        <v>20</v>
      </c>
      <c r="J132" s="69" t="s">
        <v>21</v>
      </c>
      <c r="K132" s="69" t="s">
        <v>22</v>
      </c>
      <c r="L132" s="69" t="s">
        <v>23</v>
      </c>
      <c r="M132" s="69" t="s">
        <v>24</v>
      </c>
      <c r="N132" s="69" t="s">
        <v>25</v>
      </c>
      <c r="O132" s="69" t="s">
        <v>26</v>
      </c>
      <c r="P132" s="69" t="s">
        <v>20</v>
      </c>
      <c r="Q132" s="69" t="s">
        <v>21</v>
      </c>
      <c r="R132" s="69" t="s">
        <v>22</v>
      </c>
      <c r="S132" s="69" t="s">
        <v>23</v>
      </c>
      <c r="T132" s="69" t="s">
        <v>24</v>
      </c>
      <c r="U132" s="69" t="s">
        <v>25</v>
      </c>
      <c r="V132" s="69" t="s">
        <v>26</v>
      </c>
      <c r="W132" s="69" t="s">
        <v>20</v>
      </c>
      <c r="X132" s="69" t="s">
        <v>21</v>
      </c>
      <c r="Y132" s="69" t="s">
        <v>22</v>
      </c>
      <c r="Z132" s="69" t="s">
        <v>23</v>
      </c>
      <c r="AA132" s="69" t="s">
        <v>24</v>
      </c>
      <c r="AB132" s="69" t="s">
        <v>25</v>
      </c>
      <c r="AC132" s="69" t="s">
        <v>26</v>
      </c>
      <c r="AD132" s="69" t="s">
        <v>20</v>
      </c>
      <c r="AE132" s="69" t="s">
        <v>21</v>
      </c>
      <c r="AF132" s="69"/>
      <c r="AG132" s="30"/>
      <c r="AH132" s="30"/>
      <c r="AI132" s="30"/>
      <c r="AJ132" s="20"/>
      <c r="AK132" s="20"/>
      <c r="AL132" s="20"/>
      <c r="AM132" s="20"/>
    </row>
    <row r="133">
      <c r="A133" s="35" t="s">
        <v>27</v>
      </c>
      <c r="B133" s="70">
        <v>44440.0</v>
      </c>
      <c r="C133" s="70">
        <v>44441.0</v>
      </c>
      <c r="D133" s="70">
        <v>44442.0</v>
      </c>
      <c r="E133" s="70">
        <v>44443.0</v>
      </c>
      <c r="F133" s="70">
        <v>44444.0</v>
      </c>
      <c r="G133" s="70">
        <v>44445.0</v>
      </c>
      <c r="H133" s="70">
        <v>44446.0</v>
      </c>
      <c r="I133" s="70">
        <v>44447.0</v>
      </c>
      <c r="J133" s="70">
        <v>44448.0</v>
      </c>
      <c r="K133" s="70">
        <v>44449.0</v>
      </c>
      <c r="L133" s="70">
        <v>44450.0</v>
      </c>
      <c r="M133" s="70">
        <v>44451.0</v>
      </c>
      <c r="N133" s="70">
        <v>44452.0</v>
      </c>
      <c r="O133" s="70">
        <v>44453.0</v>
      </c>
      <c r="P133" s="70">
        <v>44454.0</v>
      </c>
      <c r="Q133" s="70">
        <v>44455.0</v>
      </c>
      <c r="R133" s="70">
        <v>44456.0</v>
      </c>
      <c r="S133" s="70">
        <v>44457.0</v>
      </c>
      <c r="T133" s="70">
        <v>44458.0</v>
      </c>
      <c r="U133" s="70">
        <v>44459.0</v>
      </c>
      <c r="V133" s="70">
        <v>44460.0</v>
      </c>
      <c r="W133" s="70">
        <v>44461.0</v>
      </c>
      <c r="X133" s="70">
        <v>44462.0</v>
      </c>
      <c r="Y133" s="70">
        <v>44463.0</v>
      </c>
      <c r="Z133" s="70">
        <v>44464.0</v>
      </c>
      <c r="AA133" s="70">
        <v>44465.0</v>
      </c>
      <c r="AB133" s="70">
        <v>44466.0</v>
      </c>
      <c r="AC133" s="70">
        <v>44467.0</v>
      </c>
      <c r="AD133" s="70">
        <v>44468.0</v>
      </c>
      <c r="AE133" s="70">
        <v>44469.0</v>
      </c>
      <c r="AF133" s="70"/>
      <c r="AG133" s="37"/>
      <c r="AH133" s="37"/>
      <c r="AI133" s="37"/>
      <c r="AJ133" s="18"/>
      <c r="AK133" s="18"/>
      <c r="AL133" s="18"/>
      <c r="AM133" s="18"/>
    </row>
    <row r="134">
      <c r="A134" s="49" t="s">
        <v>28</v>
      </c>
      <c r="B134" s="39">
        <f>1.004*58.48</f>
        <v>58.71392</v>
      </c>
      <c r="C134" s="39">
        <f>1.004*77.52</f>
        <v>77.83008</v>
      </c>
      <c r="D134" s="39">
        <f>1.004*197.47</f>
        <v>198.25988</v>
      </c>
      <c r="E134" s="39">
        <f>1.004*3092.59</f>
        <v>3104.96036</v>
      </c>
      <c r="F134" s="39">
        <f>1.004*164.38</f>
        <v>165.03752</v>
      </c>
      <c r="G134" s="38">
        <f>1.004*22.72</f>
        <v>22.81088</v>
      </c>
      <c r="H134" s="39">
        <f>1.004*32.88</f>
        <v>33.01152</v>
      </c>
      <c r="I134" s="38">
        <v>0.0</v>
      </c>
      <c r="J134" s="38">
        <f>1.004*2893.12
</f>
        <v>2904.69248</v>
      </c>
      <c r="K134" s="38">
        <v>0.0</v>
      </c>
      <c r="L134" s="38">
        <v>0.0</v>
      </c>
      <c r="M134" s="38">
        <f>1.004*8.86</f>
        <v>8.89544</v>
      </c>
      <c r="N134" s="38">
        <f>1.004*28.5</f>
        <v>28.614</v>
      </c>
      <c r="O134" s="38">
        <f>1.004*36.43</f>
        <v>36.57572</v>
      </c>
      <c r="P134" s="38">
        <f>1.004*66.06</f>
        <v>66.32424</v>
      </c>
      <c r="Q134" s="38">
        <f>1.004*154.43</f>
        <v>155.04772</v>
      </c>
      <c r="R134" s="38">
        <v>0.0</v>
      </c>
      <c r="S134" s="38">
        <f>1.004*104.44</f>
        <v>104.85776</v>
      </c>
      <c r="T134" s="38">
        <f>1.004*61.97</f>
        <v>62.21788</v>
      </c>
      <c r="U134" s="38">
        <f>1.004*19.96</f>
        <v>20.03984</v>
      </c>
      <c r="V134" s="38">
        <v>0.0</v>
      </c>
      <c r="W134" s="38">
        <f>1.004*11.45</f>
        <v>11.4958</v>
      </c>
      <c r="X134" s="38">
        <f>1.004*17.63</f>
        <v>17.70052</v>
      </c>
      <c r="Y134" s="38">
        <f>1.004*20.16</f>
        <v>20.24064</v>
      </c>
      <c r="Z134" s="38">
        <f>1.004*48.83</f>
        <v>49.02532</v>
      </c>
      <c r="AA134" s="38">
        <f>1.004*72.6</f>
        <v>72.8904</v>
      </c>
      <c r="AB134" s="38">
        <v>0.0</v>
      </c>
      <c r="AC134" s="38">
        <f>1.004*60.2</f>
        <v>60.4408</v>
      </c>
      <c r="AD134" s="38">
        <f>1.004*52.69</f>
        <v>52.90076</v>
      </c>
      <c r="AE134" s="38">
        <f>1.004*2893.12
</f>
        <v>2904.69248</v>
      </c>
      <c r="AF134" s="54"/>
      <c r="AG134" s="51"/>
      <c r="AH134" s="51"/>
      <c r="AI134" s="51"/>
      <c r="AJ134" s="20"/>
      <c r="AK134" s="20"/>
      <c r="AL134" s="20"/>
      <c r="AM134" s="20"/>
    </row>
    <row r="135">
      <c r="A135" s="49" t="s">
        <v>29</v>
      </c>
      <c r="B135" s="39">
        <v>0.0</v>
      </c>
      <c r="C135" s="39">
        <v>1.0</v>
      </c>
      <c r="D135" s="39">
        <v>0.0</v>
      </c>
      <c r="E135" s="39">
        <v>1.0</v>
      </c>
      <c r="F135" s="39">
        <v>0.0</v>
      </c>
      <c r="G135" s="38">
        <v>0.0</v>
      </c>
      <c r="H135" s="38">
        <v>0.0</v>
      </c>
      <c r="I135" s="38">
        <v>0.0</v>
      </c>
      <c r="J135" s="39">
        <v>1.0</v>
      </c>
      <c r="K135" s="38">
        <v>0.0</v>
      </c>
      <c r="L135" s="38">
        <v>0.0</v>
      </c>
      <c r="M135" s="38">
        <v>0.0</v>
      </c>
      <c r="N135" s="38">
        <v>1.0</v>
      </c>
      <c r="O135" s="38">
        <v>0.0</v>
      </c>
      <c r="P135" s="38">
        <v>0.0</v>
      </c>
      <c r="Q135" s="38">
        <v>0.0</v>
      </c>
      <c r="R135" s="38">
        <v>0.0</v>
      </c>
      <c r="S135" s="38">
        <v>0.0</v>
      </c>
      <c r="T135" s="38">
        <v>0.0</v>
      </c>
      <c r="U135" s="52">
        <v>0.0</v>
      </c>
      <c r="V135" s="38">
        <v>1.0</v>
      </c>
      <c r="W135" s="52">
        <v>0.0</v>
      </c>
      <c r="X135" s="38">
        <v>1.0</v>
      </c>
      <c r="Y135" s="38">
        <v>1.0</v>
      </c>
      <c r="Z135" s="38">
        <v>0.0</v>
      </c>
      <c r="AA135" s="52">
        <v>0.0</v>
      </c>
      <c r="AB135" s="52">
        <v>0.0</v>
      </c>
      <c r="AC135" s="38">
        <v>0.0</v>
      </c>
      <c r="AD135" s="38">
        <v>1.0</v>
      </c>
      <c r="AE135" s="38">
        <v>1.0</v>
      </c>
      <c r="AF135" s="54"/>
      <c r="AG135" s="51"/>
      <c r="AH135" s="51"/>
      <c r="AI135" s="51"/>
      <c r="AJ135" s="20"/>
      <c r="AK135" s="20"/>
      <c r="AL135" s="20"/>
      <c r="AM135" s="20"/>
    </row>
    <row r="136">
      <c r="A136" s="35" t="s">
        <v>30</v>
      </c>
      <c r="B136" s="53" t="str">
        <f t="shared" ref="B136:AF136" si="59">B134/B135</f>
        <v>#DIV/0!</v>
      </c>
      <c r="C136" s="53">
        <f t="shared" si="59"/>
        <v>77.83008</v>
      </c>
      <c r="D136" s="53" t="str">
        <f t="shared" si="59"/>
        <v>#DIV/0!</v>
      </c>
      <c r="E136" s="53">
        <f t="shared" si="59"/>
        <v>3104.96036</v>
      </c>
      <c r="F136" s="55" t="str">
        <f t="shared" si="59"/>
        <v>#DIV/0!</v>
      </c>
      <c r="G136" s="55" t="str">
        <f t="shared" si="59"/>
        <v>#DIV/0!</v>
      </c>
      <c r="H136" s="54" t="str">
        <f t="shared" si="59"/>
        <v>#DIV/0!</v>
      </c>
      <c r="I136" s="54" t="str">
        <f t="shared" si="59"/>
        <v>#DIV/0!</v>
      </c>
      <c r="J136" s="39">
        <f t="shared" si="59"/>
        <v>2904.69248</v>
      </c>
      <c r="K136" s="54" t="str">
        <f t="shared" si="59"/>
        <v>#DIV/0!</v>
      </c>
      <c r="L136" s="54" t="str">
        <f t="shared" si="59"/>
        <v>#DIV/0!</v>
      </c>
      <c r="M136" s="54" t="str">
        <f t="shared" si="59"/>
        <v>#DIV/0!</v>
      </c>
      <c r="N136" s="38">
        <f t="shared" si="59"/>
        <v>28.614</v>
      </c>
      <c r="O136" s="54" t="str">
        <f t="shared" si="59"/>
        <v>#DIV/0!</v>
      </c>
      <c r="P136" s="54" t="str">
        <f t="shared" si="59"/>
        <v>#DIV/0!</v>
      </c>
      <c r="Q136" s="55" t="str">
        <f t="shared" si="59"/>
        <v>#DIV/0!</v>
      </c>
      <c r="R136" s="55" t="str">
        <f t="shared" si="59"/>
        <v>#DIV/0!</v>
      </c>
      <c r="S136" s="55" t="str">
        <f t="shared" si="59"/>
        <v>#DIV/0!</v>
      </c>
      <c r="T136" s="54" t="str">
        <f t="shared" si="59"/>
        <v>#DIV/0!</v>
      </c>
      <c r="U136" s="54" t="str">
        <f t="shared" si="59"/>
        <v>#DIV/0!</v>
      </c>
      <c r="V136" s="54">
        <f t="shared" si="59"/>
        <v>0</v>
      </c>
      <c r="W136" s="55" t="str">
        <f t="shared" si="59"/>
        <v>#DIV/0!</v>
      </c>
      <c r="X136" s="38">
        <f t="shared" si="59"/>
        <v>17.70052</v>
      </c>
      <c r="Y136" s="38">
        <f t="shared" si="59"/>
        <v>20.24064</v>
      </c>
      <c r="Z136" s="54" t="str">
        <f t="shared" si="59"/>
        <v>#DIV/0!</v>
      </c>
      <c r="AA136" s="54" t="str">
        <f t="shared" si="59"/>
        <v>#DIV/0!</v>
      </c>
      <c r="AB136" s="54" t="str">
        <f t="shared" si="59"/>
        <v>#DIV/0!</v>
      </c>
      <c r="AC136" s="54" t="str">
        <f t="shared" si="59"/>
        <v>#DIV/0!</v>
      </c>
      <c r="AD136" s="38">
        <f t="shared" si="59"/>
        <v>52.90076</v>
      </c>
      <c r="AE136" s="38">
        <f t="shared" si="59"/>
        <v>2904.69248</v>
      </c>
      <c r="AF136" s="54" t="str">
        <f t="shared" si="59"/>
        <v>#DIV/0!</v>
      </c>
      <c r="AG136" s="55"/>
      <c r="AH136" s="55"/>
      <c r="AI136" s="55"/>
      <c r="AJ136" s="40"/>
      <c r="AK136" s="40"/>
      <c r="AL136" s="40"/>
      <c r="AM136" s="40"/>
    </row>
    <row r="137">
      <c r="A137" s="42"/>
      <c r="B137" s="43"/>
      <c r="C137" s="43"/>
      <c r="D137" s="43"/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0"/>
      <c r="AK137" s="40"/>
      <c r="AL137" s="40"/>
      <c r="AM137" s="40"/>
    </row>
    <row r="138">
      <c r="A138" s="26" t="s">
        <v>58</v>
      </c>
      <c r="B138" s="27" t="s">
        <v>1</v>
      </c>
      <c r="C138" s="28" t="s">
        <v>2</v>
      </c>
      <c r="D138" s="28" t="s">
        <v>3</v>
      </c>
      <c r="E138" s="28" t="s">
        <v>4</v>
      </c>
      <c r="F138" s="28" t="s">
        <v>34</v>
      </c>
      <c r="G138" s="29" t="s">
        <v>6</v>
      </c>
      <c r="H138" s="28" t="s">
        <v>7</v>
      </c>
      <c r="I138" s="29" t="s">
        <v>8</v>
      </c>
      <c r="J138" s="28" t="s">
        <v>9</v>
      </c>
      <c r="K138" s="29" t="s">
        <v>10</v>
      </c>
      <c r="L138" s="28" t="s">
        <v>11</v>
      </c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0"/>
      <c r="AK138" s="20"/>
      <c r="AL138" s="20"/>
      <c r="AM138" s="20"/>
    </row>
    <row r="139">
      <c r="A139" s="7" t="s">
        <v>12</v>
      </c>
      <c r="B139" s="9">
        <v>50.0</v>
      </c>
      <c r="C139" s="9">
        <f>SUM(B145:AF145)</f>
        <v>60</v>
      </c>
      <c r="D139" s="10">
        <f>C139/B139</f>
        <v>1.2</v>
      </c>
      <c r="E139" s="19">
        <f>B139-C139</f>
        <v>-10</v>
      </c>
      <c r="F139" s="9">
        <f>C139/AJ139*AK139</f>
        <v>265.7142857</v>
      </c>
      <c r="G139" s="45">
        <f t="shared" ref="G139:G141" si="61">F139/B139</f>
        <v>5.314285714</v>
      </c>
      <c r="H139" s="9">
        <f>F139-B139</f>
        <v>215.7142857</v>
      </c>
      <c r="I139" s="19">
        <f>E139/(AK139-AJ139)</f>
        <v>-0.4166666667</v>
      </c>
      <c r="J139" s="12">
        <f>B139/AK129</f>
        <v>1.612903226</v>
      </c>
      <c r="K139" s="12">
        <f>C139/AJ113</f>
        <v>8.571428571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4">
        <f>AK140</f>
        <v>7</v>
      </c>
      <c r="AK139" s="14" t="str">
        <f>AM139</f>
        <v>31</v>
      </c>
      <c r="AL139" s="15">
        <f>DATE(YEAR(TODAY()),MONTH(TODAY())+1,1)-1</f>
        <v>44561</v>
      </c>
      <c r="AM139" s="14" t="str">
        <f>LEFT(AL139, 2)</f>
        <v>31</v>
      </c>
    </row>
    <row r="140">
      <c r="A140" s="7" t="s">
        <v>13</v>
      </c>
      <c r="B140" s="9">
        <f t="shared" ref="B140:D140" si="60">B141/B139</f>
        <v>4500</v>
      </c>
      <c r="C140" s="56">
        <f t="shared" si="60"/>
        <v>2579.833333</v>
      </c>
      <c r="D140" s="10">
        <f t="shared" si="60"/>
        <v>0.5732962963</v>
      </c>
      <c r="E140" s="13"/>
      <c r="F140" s="9">
        <f>F141/F139</f>
        <v>2579.833333</v>
      </c>
      <c r="G140" s="45">
        <f t="shared" si="61"/>
        <v>0.5732962963</v>
      </c>
      <c r="H140" s="13"/>
      <c r="I140" s="9"/>
      <c r="J140" s="13"/>
      <c r="K140" s="13"/>
      <c r="L140" s="13"/>
      <c r="M140" s="13"/>
      <c r="N140" s="13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17">
        <f>TODAY()</f>
        <v>44538</v>
      </c>
      <c r="AK140" s="14">
        <f>LEFT(AJ140, 2)-1</f>
        <v>7</v>
      </c>
      <c r="AL140" s="18"/>
      <c r="AM140" s="18"/>
    </row>
    <row r="141">
      <c r="A141" s="7" t="s">
        <v>14</v>
      </c>
      <c r="B141" s="9">
        <v>225000.0</v>
      </c>
      <c r="C141" s="8">
        <v>154790.0</v>
      </c>
      <c r="D141" s="10">
        <f>C141/B141</f>
        <v>0.6879555556</v>
      </c>
      <c r="E141" s="9">
        <f>B141-C141</f>
        <v>70210</v>
      </c>
      <c r="F141" s="9">
        <f>C141/AJ139*AK139</f>
        <v>685498.5714</v>
      </c>
      <c r="G141" s="45">
        <f t="shared" si="61"/>
        <v>3.046660317</v>
      </c>
      <c r="H141" s="9">
        <f>F141-B141</f>
        <v>460498.5714</v>
      </c>
      <c r="I141" s="9">
        <f>E141/(AK139-AJ139)</f>
        <v>2925.416667</v>
      </c>
      <c r="J141" s="19">
        <f>B141/AK129</f>
        <v>7258.064516</v>
      </c>
      <c r="K141" s="12">
        <f>C141/AJ113</f>
        <v>22112.85714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20"/>
      <c r="AK141" s="20"/>
      <c r="AL141" s="20"/>
      <c r="AM141" s="20"/>
    </row>
    <row r="142">
      <c r="A142" s="72" t="s">
        <v>59</v>
      </c>
      <c r="B142" s="69" t="s">
        <v>20</v>
      </c>
      <c r="C142" s="69" t="s">
        <v>21</v>
      </c>
      <c r="D142" s="69" t="s">
        <v>22</v>
      </c>
      <c r="E142" s="69" t="s">
        <v>23</v>
      </c>
      <c r="F142" s="69" t="s">
        <v>24</v>
      </c>
      <c r="G142" s="69" t="s">
        <v>25</v>
      </c>
      <c r="H142" s="69" t="s">
        <v>26</v>
      </c>
      <c r="I142" s="69" t="s">
        <v>20</v>
      </c>
      <c r="J142" s="69" t="s">
        <v>21</v>
      </c>
      <c r="K142" s="69" t="s">
        <v>22</v>
      </c>
      <c r="L142" s="69" t="s">
        <v>23</v>
      </c>
      <c r="M142" s="69" t="s">
        <v>24</v>
      </c>
      <c r="N142" s="69" t="s">
        <v>25</v>
      </c>
      <c r="O142" s="69" t="s">
        <v>26</v>
      </c>
      <c r="P142" s="69" t="s">
        <v>20</v>
      </c>
      <c r="Q142" s="69" t="s">
        <v>21</v>
      </c>
      <c r="R142" s="69" t="s">
        <v>22</v>
      </c>
      <c r="S142" s="69" t="s">
        <v>23</v>
      </c>
      <c r="T142" s="69" t="s">
        <v>24</v>
      </c>
      <c r="U142" s="69" t="s">
        <v>25</v>
      </c>
      <c r="V142" s="69" t="s">
        <v>26</v>
      </c>
      <c r="W142" s="69" t="s">
        <v>20</v>
      </c>
      <c r="X142" s="69" t="s">
        <v>21</v>
      </c>
      <c r="Y142" s="69" t="s">
        <v>22</v>
      </c>
      <c r="Z142" s="69" t="s">
        <v>23</v>
      </c>
      <c r="AA142" s="69" t="s">
        <v>24</v>
      </c>
      <c r="AB142" s="69" t="s">
        <v>25</v>
      </c>
      <c r="AC142" s="69" t="s">
        <v>26</v>
      </c>
      <c r="AD142" s="69" t="s">
        <v>20</v>
      </c>
      <c r="AE142" s="69" t="s">
        <v>21</v>
      </c>
      <c r="AF142" s="69"/>
      <c r="AG142" s="30"/>
      <c r="AH142" s="30"/>
      <c r="AI142" s="30"/>
      <c r="AJ142" s="20"/>
      <c r="AK142" s="20"/>
      <c r="AL142" s="20"/>
      <c r="AM142" s="20"/>
    </row>
    <row r="143">
      <c r="A143" s="35" t="s">
        <v>27</v>
      </c>
      <c r="B143" s="70">
        <v>44440.0</v>
      </c>
      <c r="C143" s="70">
        <v>44441.0</v>
      </c>
      <c r="D143" s="70">
        <v>44442.0</v>
      </c>
      <c r="E143" s="70">
        <v>44443.0</v>
      </c>
      <c r="F143" s="70">
        <v>44444.0</v>
      </c>
      <c r="G143" s="70">
        <v>44445.0</v>
      </c>
      <c r="H143" s="70">
        <v>44446.0</v>
      </c>
      <c r="I143" s="70">
        <v>44447.0</v>
      </c>
      <c r="J143" s="70">
        <v>44448.0</v>
      </c>
      <c r="K143" s="70">
        <v>44449.0</v>
      </c>
      <c r="L143" s="70">
        <v>44450.0</v>
      </c>
      <c r="M143" s="70">
        <v>44451.0</v>
      </c>
      <c r="N143" s="70">
        <v>44452.0</v>
      </c>
      <c r="O143" s="70">
        <v>44453.0</v>
      </c>
      <c r="P143" s="70">
        <v>44454.0</v>
      </c>
      <c r="Q143" s="70">
        <v>44455.0</v>
      </c>
      <c r="R143" s="70">
        <v>44456.0</v>
      </c>
      <c r="S143" s="70">
        <v>44457.0</v>
      </c>
      <c r="T143" s="70">
        <v>44458.0</v>
      </c>
      <c r="U143" s="70">
        <v>44459.0</v>
      </c>
      <c r="V143" s="70">
        <v>44460.0</v>
      </c>
      <c r="W143" s="70">
        <v>44461.0</v>
      </c>
      <c r="X143" s="70">
        <v>44462.0</v>
      </c>
      <c r="Y143" s="70">
        <v>44463.0</v>
      </c>
      <c r="Z143" s="70">
        <v>44464.0</v>
      </c>
      <c r="AA143" s="70">
        <v>44465.0</v>
      </c>
      <c r="AB143" s="70">
        <v>44466.0</v>
      </c>
      <c r="AC143" s="70">
        <v>44467.0</v>
      </c>
      <c r="AD143" s="70">
        <v>44468.0</v>
      </c>
      <c r="AE143" s="70">
        <v>44469.0</v>
      </c>
      <c r="AF143" s="70"/>
      <c r="AG143" s="37"/>
      <c r="AH143" s="37"/>
      <c r="AI143" s="37"/>
      <c r="AJ143" s="18"/>
      <c r="AK143" s="18"/>
      <c r="AL143" s="18"/>
      <c r="AM143" s="18"/>
    </row>
    <row r="144">
      <c r="A144" s="49" t="s">
        <v>28</v>
      </c>
      <c r="B144" s="39">
        <f>1.004*2291.25</f>
        <v>2300.415</v>
      </c>
      <c r="C144" s="39">
        <f>1.004*2929.08</f>
        <v>2940.79632</v>
      </c>
      <c r="D144" s="39">
        <f>1.004*4677.74</f>
        <v>4696.45096</v>
      </c>
      <c r="E144" s="39">
        <f>1.004*4780.16</f>
        <v>4799.28064</v>
      </c>
      <c r="F144" s="39">
        <f>1.004*5073.15</f>
        <v>5093.4426</v>
      </c>
      <c r="G144" s="53">
        <f>1.004*6212</f>
        <v>6236.848</v>
      </c>
      <c r="H144" s="53">
        <f>1.004*6721.85 </f>
        <v>6748.7374</v>
      </c>
      <c r="I144" s="53">
        <f>1.004*5578.45 </f>
        <v>5600.7638</v>
      </c>
      <c r="J144" s="53">
        <f>1.004*5049.26</f>
        <v>5069.45704</v>
      </c>
      <c r="K144" s="53">
        <f>1.004*5775.44</f>
        <v>5798.54176</v>
      </c>
      <c r="L144" s="53">
        <f>1.004*4888.59</f>
        <v>4908.14436</v>
      </c>
      <c r="M144" s="53">
        <f>1.004*5542.33 </f>
        <v>5564.49932</v>
      </c>
      <c r="N144" s="53">
        <f>1.004*5215.97</f>
        <v>5236.83388</v>
      </c>
      <c r="O144" s="53">
        <f>1.004*4333.95</f>
        <v>4351.2858</v>
      </c>
      <c r="P144" s="53">
        <f>1.004*4597.06</f>
        <v>4615.44824</v>
      </c>
      <c r="Q144" s="53">
        <f>1.004*4810.25 </f>
        <v>4829.491</v>
      </c>
      <c r="R144" s="53">
        <f>1.004*4729.04 </f>
        <v>4747.95616</v>
      </c>
      <c r="S144" s="53">
        <f>1.004*4472.59</f>
        <v>4490.48036</v>
      </c>
      <c r="T144" s="53">
        <f>1.004*5104.49</f>
        <v>5124.90796</v>
      </c>
      <c r="U144" s="53">
        <f>1.004*6192.96</f>
        <v>6217.73184</v>
      </c>
      <c r="V144" s="53">
        <f>1.004*7515.43</f>
        <v>7545.49172</v>
      </c>
      <c r="W144" s="53">
        <f>1.004*3325.94</f>
        <v>3339.24376</v>
      </c>
      <c r="X144" s="53">
        <f>1.004*8530.29 </f>
        <v>8564.41116</v>
      </c>
      <c r="Y144" s="53">
        <f>1.004*4738.64</f>
        <v>4757.59456</v>
      </c>
      <c r="Z144" s="53">
        <f>1.004*3359.42</f>
        <v>3372.85768</v>
      </c>
      <c r="AA144" s="53">
        <f>1.004*5716.88</f>
        <v>5739.74752</v>
      </c>
      <c r="AB144" s="53">
        <f>1.004*6188.31</f>
        <v>6213.06324</v>
      </c>
      <c r="AC144" s="41">
        <f>1.004*6292.7</f>
        <v>6317.8708</v>
      </c>
      <c r="AD144" s="53">
        <f>1.004*5627.84</f>
        <v>5650.35136</v>
      </c>
      <c r="AE144" s="53">
        <f>1.004*4692.32</f>
        <v>4711.08928</v>
      </c>
      <c r="AF144" s="51"/>
      <c r="AG144" s="51"/>
      <c r="AH144" s="51"/>
      <c r="AI144" s="51"/>
      <c r="AJ144" s="20"/>
      <c r="AK144" s="20"/>
      <c r="AL144" s="20"/>
      <c r="AM144" s="20"/>
    </row>
    <row r="145">
      <c r="A145" s="49" t="s">
        <v>29</v>
      </c>
      <c r="B145" s="39">
        <v>2.0</v>
      </c>
      <c r="C145" s="39">
        <v>2.0</v>
      </c>
      <c r="D145" s="39">
        <v>0.0</v>
      </c>
      <c r="E145" s="39">
        <v>3.0</v>
      </c>
      <c r="F145" s="39">
        <v>1.0</v>
      </c>
      <c r="G145" s="41">
        <v>2.0</v>
      </c>
      <c r="H145" s="41">
        <v>2.0</v>
      </c>
      <c r="I145" s="41">
        <v>1.0</v>
      </c>
      <c r="J145" s="41">
        <v>1.0</v>
      </c>
      <c r="K145" s="41">
        <v>2.0</v>
      </c>
      <c r="L145" s="41">
        <v>3.0</v>
      </c>
      <c r="M145" s="41">
        <v>3.0</v>
      </c>
      <c r="N145" s="41">
        <v>5.0</v>
      </c>
      <c r="O145" s="41">
        <v>0.0</v>
      </c>
      <c r="P145" s="41">
        <v>5.0</v>
      </c>
      <c r="Q145" s="41">
        <v>1.0</v>
      </c>
      <c r="R145" s="41">
        <v>2.0</v>
      </c>
      <c r="S145" s="41">
        <v>0.0</v>
      </c>
      <c r="T145" s="41">
        <v>2.0</v>
      </c>
      <c r="U145" s="41">
        <v>1.0</v>
      </c>
      <c r="V145" s="41">
        <v>4.0</v>
      </c>
      <c r="W145" s="41">
        <v>2.0</v>
      </c>
      <c r="X145" s="41">
        <v>1.0</v>
      </c>
      <c r="Y145" s="41">
        <v>4.0</v>
      </c>
      <c r="Z145" s="41">
        <v>0.0</v>
      </c>
      <c r="AA145" s="41">
        <v>3.0</v>
      </c>
      <c r="AB145" s="41">
        <v>1.0</v>
      </c>
      <c r="AC145" s="41">
        <v>2.0</v>
      </c>
      <c r="AD145" s="53">
        <v>2.0</v>
      </c>
      <c r="AE145" s="53">
        <v>3.0</v>
      </c>
      <c r="AF145" s="51"/>
      <c r="AG145" s="51"/>
      <c r="AH145" s="51"/>
      <c r="AI145" s="51"/>
      <c r="AJ145" s="20"/>
      <c r="AK145" s="20"/>
      <c r="AL145" s="20"/>
      <c r="AM145" s="20"/>
    </row>
    <row r="146">
      <c r="A146" s="35" t="s">
        <v>30</v>
      </c>
      <c r="B146" s="53">
        <f t="shared" ref="B146:AE146" si="62">B144/B145</f>
        <v>1150.2075</v>
      </c>
      <c r="C146" s="53">
        <f t="shared" si="62"/>
        <v>1470.39816</v>
      </c>
      <c r="D146" s="55" t="str">
        <f t="shared" si="62"/>
        <v>#DIV/0!</v>
      </c>
      <c r="E146" s="53">
        <f t="shared" si="62"/>
        <v>1599.760213</v>
      </c>
      <c r="F146" s="53">
        <f t="shared" si="62"/>
        <v>5093.4426</v>
      </c>
      <c r="G146" s="53">
        <f t="shared" si="62"/>
        <v>3118.424</v>
      </c>
      <c r="H146" s="53">
        <f t="shared" si="62"/>
        <v>3374.3687</v>
      </c>
      <c r="I146" s="53">
        <f t="shared" si="62"/>
        <v>5600.7638</v>
      </c>
      <c r="J146" s="53">
        <f t="shared" si="62"/>
        <v>5069.45704</v>
      </c>
      <c r="K146" s="53">
        <f t="shared" si="62"/>
        <v>2899.27088</v>
      </c>
      <c r="L146" s="53">
        <f t="shared" si="62"/>
        <v>1636.04812</v>
      </c>
      <c r="M146" s="53">
        <f t="shared" si="62"/>
        <v>1854.833107</v>
      </c>
      <c r="N146" s="53">
        <f t="shared" si="62"/>
        <v>1047.366776</v>
      </c>
      <c r="O146" s="55" t="str">
        <f t="shared" si="62"/>
        <v>#DIV/0!</v>
      </c>
      <c r="P146" s="53">
        <f t="shared" si="62"/>
        <v>923.089648</v>
      </c>
      <c r="Q146" s="53">
        <f t="shared" si="62"/>
        <v>4829.491</v>
      </c>
      <c r="R146" s="53">
        <f t="shared" si="62"/>
        <v>2373.97808</v>
      </c>
      <c r="S146" s="53" t="str">
        <f t="shared" si="62"/>
        <v>#DIV/0!</v>
      </c>
      <c r="T146" s="41">
        <f t="shared" si="62"/>
        <v>2562.45398</v>
      </c>
      <c r="U146" s="41">
        <f t="shared" si="62"/>
        <v>6217.73184</v>
      </c>
      <c r="V146" s="41">
        <f t="shared" si="62"/>
        <v>1886.37293</v>
      </c>
      <c r="W146" s="41">
        <f t="shared" si="62"/>
        <v>1669.62188</v>
      </c>
      <c r="X146" s="41">
        <f t="shared" si="62"/>
        <v>8564.41116</v>
      </c>
      <c r="Y146" s="41">
        <f t="shared" si="62"/>
        <v>1189.39864</v>
      </c>
      <c r="Z146" s="55" t="str">
        <f t="shared" si="62"/>
        <v>#DIV/0!</v>
      </c>
      <c r="AA146" s="41">
        <f t="shared" si="62"/>
        <v>1913.249173</v>
      </c>
      <c r="AB146" s="41">
        <f t="shared" si="62"/>
        <v>6213.06324</v>
      </c>
      <c r="AC146" s="41">
        <f t="shared" si="62"/>
        <v>3158.9354</v>
      </c>
      <c r="AD146" s="53">
        <f t="shared" si="62"/>
        <v>2825.17568</v>
      </c>
      <c r="AE146" s="53">
        <f t="shared" si="62"/>
        <v>1570.363093</v>
      </c>
      <c r="AF146" s="55"/>
      <c r="AG146" s="55"/>
      <c r="AH146" s="55"/>
      <c r="AI146" s="55"/>
      <c r="AJ146" s="40"/>
      <c r="AK146" s="40"/>
      <c r="AL146" s="40"/>
      <c r="AM146" s="40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>
      <c r="A149" s="7"/>
      <c r="B149" s="9"/>
      <c r="C149" s="9"/>
      <c r="D149" s="73"/>
      <c r="E149" s="9"/>
      <c r="F149" s="9"/>
      <c r="G149" s="9"/>
      <c r="H149" s="9"/>
      <c r="I149" s="9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4"/>
      <c r="AK149" s="14"/>
      <c r="AL149" s="15"/>
      <c r="AM149" s="14"/>
    </row>
    <row r="150">
      <c r="A150" s="7"/>
      <c r="B150" s="9"/>
      <c r="C150" s="9"/>
      <c r="D150" s="73"/>
      <c r="E150" s="16"/>
      <c r="F150" s="9"/>
      <c r="G150" s="9"/>
      <c r="H150" s="9"/>
      <c r="I150" s="9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7"/>
      <c r="AK150" s="14"/>
      <c r="AL150" s="18"/>
      <c r="AM150" s="18"/>
    </row>
    <row r="151">
      <c r="A151" s="7"/>
      <c r="B151" s="9"/>
      <c r="C151" s="9"/>
      <c r="D151" s="73"/>
      <c r="E151" s="9"/>
      <c r="F151" s="9"/>
      <c r="G151" s="9"/>
      <c r="H151" s="9"/>
      <c r="I151" s="19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20"/>
      <c r="AK151" s="20"/>
      <c r="AL151" s="20"/>
      <c r="AM151" s="20"/>
    </row>
  </sheetData>
  <conditionalFormatting sqref="H4 H10 H41 H47 H77 H83 H115 H121">
    <cfRule type="cellIs" dxfId="0" priority="1" operator="greaterThan">
      <formula>0</formula>
    </cfRule>
  </conditionalFormatting>
  <conditionalFormatting sqref="H2 H39 H75 H113">
    <cfRule type="cellIs" dxfId="1" priority="2" operator="greaterThan">
      <formula>0</formula>
    </cfRule>
  </conditionalFormatting>
  <conditionalFormatting sqref="H4 H41 H77 H115">
    <cfRule type="cellIs" dxfId="1" priority="3" operator="lessThan">
      <formula>0</formula>
    </cfRule>
  </conditionalFormatting>
  <conditionalFormatting sqref="H2 H39 H75 H113">
    <cfRule type="cellIs" dxfId="0" priority="4" operator="lessThan">
      <formula>0</formula>
    </cfRule>
  </conditionalFormatting>
  <conditionalFormatting sqref="G4 G41 G77 G115">
    <cfRule type="cellIs" dxfId="0" priority="5" operator="greaterThan">
      <formula>"100%"</formula>
    </cfRule>
  </conditionalFormatting>
  <conditionalFormatting sqref="G2 G39 G75 G113">
    <cfRule type="cellIs" dxfId="1" priority="6" operator="greaterThan">
      <formula>"100%"</formula>
    </cfRule>
  </conditionalFormatting>
  <conditionalFormatting sqref="G2 G8 G39 G45 G75 G81 G119">
    <cfRule type="cellIs" dxfId="1" priority="7" operator="greaterThan">
      <formula>"100%"</formula>
    </cfRule>
  </conditionalFormatting>
  <conditionalFormatting sqref="G10 G47 G83 G121">
    <cfRule type="cellIs" dxfId="0" priority="8" operator="greaterThan">
      <formula>"100%"</formula>
    </cfRule>
  </conditionalFormatting>
  <conditionalFormatting sqref="G10 G47 G83 G121">
    <cfRule type="cellIs" dxfId="1" priority="9" operator="lessThan">
      <formula>"100%"</formula>
    </cfRule>
  </conditionalFormatting>
  <conditionalFormatting sqref="C19 C56 C92 C130">
    <cfRule type="cellIs" dxfId="0" priority="10" operator="greaterThan">
      <formula>B20/B18</formula>
    </cfRule>
  </conditionalFormatting>
  <conditionalFormatting sqref="C19 C56 C92 C130">
    <cfRule type="cellIs" dxfId="1" priority="11" operator="lessThan">
      <formula>B20/B18</formula>
    </cfRule>
  </conditionalFormatting>
  <conditionalFormatting sqref="H8 H45 H81 H119">
    <cfRule type="cellIs" dxfId="0" priority="12" operator="lessThan">
      <formula>0</formula>
    </cfRule>
  </conditionalFormatting>
  <conditionalFormatting sqref="H8 H45 H81 H119">
    <cfRule type="cellIs" dxfId="1" priority="13" operator="greaterThan">
      <formula>0</formula>
    </cfRule>
  </conditionalFormatting>
  <conditionalFormatting sqref="H18 H55 H91 H129">
    <cfRule type="cellIs" dxfId="0" priority="14" operator="lessThan">
      <formula>0</formula>
    </cfRule>
  </conditionalFormatting>
  <conditionalFormatting sqref="C9 C46 C82 C120">
    <cfRule type="cellIs" dxfId="0" priority="15" operator="greaterThan">
      <formula>B10/B8</formula>
    </cfRule>
  </conditionalFormatting>
  <conditionalFormatting sqref="C9 C46 C82 C120">
    <cfRule type="cellIs" dxfId="1" priority="16" operator="lessThan">
      <formula>B10/B8</formula>
    </cfRule>
  </conditionalFormatting>
  <conditionalFormatting sqref="H20 H57 H93 H131">
    <cfRule type="cellIs" dxfId="0" priority="17" operator="greaterThan">
      <formula>0</formula>
    </cfRule>
  </conditionalFormatting>
  <conditionalFormatting sqref="H28 H65 H101 H139">
    <cfRule type="cellIs" dxfId="1" priority="18" operator="greaterThan">
      <formula>0</formula>
    </cfRule>
  </conditionalFormatting>
  <conditionalFormatting sqref="H28 H65 H101 H139">
    <cfRule type="cellIs" dxfId="0" priority="19" operator="lessThan">
      <formula>0</formula>
    </cfRule>
  </conditionalFormatting>
  <conditionalFormatting sqref="G18 G55 G91 G129">
    <cfRule type="cellIs" dxfId="0" priority="20" operator="lessThan">
      <formula>"100%"</formula>
    </cfRule>
  </conditionalFormatting>
  <conditionalFormatting sqref="G18 G55 G91 G129">
    <cfRule type="cellIs" dxfId="2" priority="21" operator="greaterThan">
      <formula>"100%"</formula>
    </cfRule>
  </conditionalFormatting>
  <conditionalFormatting sqref="G20 G57 G93 G131">
    <cfRule type="cellIs" dxfId="1" priority="22" operator="lessThan">
      <formula>"100%"</formula>
    </cfRule>
  </conditionalFormatting>
  <conditionalFormatting sqref="G20 G57 G93 G131">
    <cfRule type="cellIs" dxfId="0" priority="23" operator="greaterThan">
      <formula>"100%"</formula>
    </cfRule>
  </conditionalFormatting>
  <conditionalFormatting sqref="G28 G65 G101 G139">
    <cfRule type="cellIs" dxfId="0" priority="24" operator="lessThan">
      <formula>"100%"</formula>
    </cfRule>
  </conditionalFormatting>
  <conditionalFormatting sqref="G28 G65 G101 G139">
    <cfRule type="cellIs" dxfId="1" priority="25" operator="greaterThan">
      <formula>"100%"</formula>
    </cfRule>
  </conditionalFormatting>
  <conditionalFormatting sqref="G30 G67 G103 G141">
    <cfRule type="cellIs" dxfId="1" priority="26" operator="lessThan">
      <formula>"100%"</formula>
    </cfRule>
  </conditionalFormatting>
  <conditionalFormatting sqref="G30 G67 G103 G141">
    <cfRule type="cellIs" dxfId="0" priority="27" operator="greaterThan">
      <formula>"100%"</formula>
    </cfRule>
  </conditionalFormatting>
  <conditionalFormatting sqref="H30 H67">
    <cfRule type="cellIs" dxfId="0" priority="28" operator="greaterThan">
      <formula>"B31"</formula>
    </cfRule>
  </conditionalFormatting>
  <conditionalFormatting sqref="H20 H57 H93 H131">
    <cfRule type="cellIs" dxfId="1" priority="29" operator="lessThan">
      <formula>0</formula>
    </cfRule>
  </conditionalFormatting>
  <conditionalFormatting sqref="G2 G8 G39 G45 G75 G81 G119">
    <cfRule type="cellIs" dxfId="0" priority="30" operator="lessThan">
      <formula>"100%"</formula>
    </cfRule>
  </conditionalFormatting>
  <conditionalFormatting sqref="H10 H47 H83 H121">
    <cfRule type="cellIs" dxfId="1" priority="31" operator="lessThan">
      <formula>0</formula>
    </cfRule>
  </conditionalFormatting>
  <conditionalFormatting sqref="C29 C66 C102 C140">
    <cfRule type="cellIs" dxfId="1" priority="32" operator="lessThan">
      <formula>B30/B28</formula>
    </cfRule>
  </conditionalFormatting>
  <conditionalFormatting sqref="C29 C66 C102 C140">
    <cfRule type="cellIs" dxfId="3" priority="33" operator="greaterThan">
      <formula>B30/B28</formula>
    </cfRule>
  </conditionalFormatting>
  <conditionalFormatting sqref="C3 C40 C76 C114">
    <cfRule type="cellIs" dxfId="1" priority="34" operator="lessThan">
      <formula>B4/B2</formula>
    </cfRule>
  </conditionalFormatting>
  <conditionalFormatting sqref="C3 C40 C76 C114">
    <cfRule type="cellIs" dxfId="0" priority="35" operator="greaterThan">
      <formula>B4/B2</formula>
    </cfRule>
  </conditionalFormatting>
  <conditionalFormatting sqref="G3 G40 G76 G114">
    <cfRule type="cellIs" dxfId="4" priority="36" operator="greaterThan">
      <formula>"100%"</formula>
    </cfRule>
  </conditionalFormatting>
  <conditionalFormatting sqref="G3 G40 G76 G114">
    <cfRule type="cellIs" dxfId="1" priority="37" operator="lessThan">
      <formula>"100%"</formula>
    </cfRule>
  </conditionalFormatting>
  <conditionalFormatting sqref="G9 G46 G82 G120">
    <cfRule type="cellIs" dxfId="0" priority="38" operator="greaterThan">
      <formula>"100%"</formula>
    </cfRule>
  </conditionalFormatting>
  <conditionalFormatting sqref="G9 G46 G82 G120">
    <cfRule type="cellIs" dxfId="1" priority="39" operator="lessThan">
      <formula>"100%"</formula>
    </cfRule>
  </conditionalFormatting>
  <conditionalFormatting sqref="G19 G56 G92 G130">
    <cfRule type="cellIs" dxfId="0" priority="40" operator="greaterThan">
      <formula>"100%"</formula>
    </cfRule>
  </conditionalFormatting>
  <conditionalFormatting sqref="G19 G56 G92 G130">
    <cfRule type="cellIs" dxfId="1" priority="41" operator="lessThan">
      <formula>"100%"</formula>
    </cfRule>
  </conditionalFormatting>
  <conditionalFormatting sqref="G29 G66 G102 G140">
    <cfRule type="cellIs" dxfId="0" priority="42" operator="greaterThan">
      <formula>"100%"</formula>
    </cfRule>
  </conditionalFormatting>
  <conditionalFormatting sqref="G29 G66 G102 G140">
    <cfRule type="cellIs" dxfId="1" priority="43" operator="lessThan">
      <formula>"100%"</formula>
    </cfRule>
  </conditionalFormatting>
  <conditionalFormatting sqref="G4 G41 G77 G115">
    <cfRule type="cellIs" dxfId="1" priority="44" operator="lessThan">
      <formula>"100%"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3.86"/>
    <col customWidth="1" min="4" max="4" width="5.29"/>
  </cols>
  <sheetData>
    <row r="1">
      <c r="A1" s="1" t="s">
        <v>127</v>
      </c>
      <c r="B1" s="150"/>
      <c r="D1" s="151"/>
      <c r="E1" s="150"/>
      <c r="G1" s="3"/>
      <c r="H1" s="3"/>
      <c r="I1" s="4"/>
      <c r="J1" s="4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>
      <c r="A2" s="50" t="s">
        <v>128</v>
      </c>
      <c r="B2" s="50" t="s">
        <v>99</v>
      </c>
      <c r="C2" s="50" t="s">
        <v>129</v>
      </c>
      <c r="D2" s="50"/>
      <c r="E2" s="50"/>
      <c r="F2" s="50"/>
    </row>
    <row r="3">
      <c r="A3" s="50" t="s">
        <v>130</v>
      </c>
      <c r="B3" s="152">
        <v>298156.6</v>
      </c>
      <c r="C3" s="152">
        <f t="shared" ref="C3:C7" si="1">B3*1.004</f>
        <v>299349.2264</v>
      </c>
      <c r="D3" s="50"/>
      <c r="E3" s="50"/>
      <c r="F3" s="50"/>
    </row>
    <row r="4">
      <c r="A4" s="50" t="s">
        <v>131</v>
      </c>
      <c r="B4" s="152">
        <v>1176.92</v>
      </c>
      <c r="C4" s="152">
        <f t="shared" si="1"/>
        <v>1181.62768</v>
      </c>
      <c r="D4" s="50"/>
      <c r="E4" s="50"/>
      <c r="F4" s="50"/>
    </row>
    <row r="5">
      <c r="A5" s="50" t="s">
        <v>132</v>
      </c>
      <c r="B5" s="152">
        <v>3866.8</v>
      </c>
      <c r="C5" s="152">
        <f t="shared" si="1"/>
        <v>3882.2672</v>
      </c>
      <c r="D5" s="50"/>
      <c r="E5" s="50"/>
      <c r="F5" s="50"/>
    </row>
    <row r="6">
      <c r="A6" s="50" t="s">
        <v>133</v>
      </c>
      <c r="B6" s="152">
        <v>184791.0</v>
      </c>
      <c r="C6" s="152">
        <f t="shared" si="1"/>
        <v>185530.164</v>
      </c>
      <c r="D6" s="50"/>
      <c r="E6" s="50"/>
      <c r="F6" s="50"/>
    </row>
    <row r="7">
      <c r="A7" s="50" t="s">
        <v>134</v>
      </c>
      <c r="B7" s="152">
        <v>72.0</v>
      </c>
      <c r="C7" s="152">
        <f t="shared" si="1"/>
        <v>72.288</v>
      </c>
      <c r="D7" s="50"/>
      <c r="E7" s="50"/>
      <c r="F7" s="50"/>
    </row>
    <row r="8">
      <c r="A8" s="50" t="s">
        <v>135</v>
      </c>
      <c r="B8" s="152"/>
      <c r="C8" s="152"/>
      <c r="D8" s="50"/>
      <c r="E8" s="50"/>
      <c r="F8" s="50"/>
    </row>
    <row r="9">
      <c r="D9" s="50"/>
      <c r="E9" s="50"/>
      <c r="F9" s="50"/>
    </row>
    <row r="10">
      <c r="A10" s="50" t="s">
        <v>136</v>
      </c>
      <c r="B10" s="50" t="s">
        <v>99</v>
      </c>
      <c r="C10" s="50" t="s">
        <v>129</v>
      </c>
      <c r="D10" s="50"/>
      <c r="E10" s="50"/>
      <c r="F10" s="50"/>
    </row>
    <row r="11">
      <c r="A11" s="50" t="s">
        <v>130</v>
      </c>
      <c r="B11" s="152">
        <v>126064.57</v>
      </c>
      <c r="C11" s="152">
        <f t="shared" ref="C11:C13" si="2">B11*1.004</f>
        <v>126568.8283</v>
      </c>
      <c r="D11" s="50"/>
      <c r="E11" s="50"/>
      <c r="F11" s="50"/>
    </row>
    <row r="12">
      <c r="A12" s="50" t="s">
        <v>132</v>
      </c>
      <c r="B12" s="152">
        <v>8129.7</v>
      </c>
      <c r="C12" s="152">
        <f t="shared" si="2"/>
        <v>8162.2188</v>
      </c>
      <c r="D12" s="50"/>
      <c r="E12" s="50"/>
      <c r="F12" s="50"/>
    </row>
    <row r="13">
      <c r="A13" s="50" t="s">
        <v>133</v>
      </c>
      <c r="B13" s="152">
        <v>48718.0</v>
      </c>
      <c r="C13" s="152">
        <f t="shared" si="2"/>
        <v>48912.872</v>
      </c>
      <c r="D13" s="50"/>
      <c r="E13" s="50"/>
      <c r="F13" s="50"/>
    </row>
    <row r="14">
      <c r="C14" s="152"/>
      <c r="D14" s="50"/>
      <c r="E14" s="50"/>
      <c r="F14" s="50"/>
    </row>
    <row r="15">
      <c r="A15" s="50" t="s">
        <v>128</v>
      </c>
      <c r="B15" s="50" t="s">
        <v>99</v>
      </c>
      <c r="C15" s="50" t="s">
        <v>129</v>
      </c>
      <c r="D15" s="50"/>
      <c r="E15" s="50"/>
      <c r="F15" s="50"/>
    </row>
    <row r="16">
      <c r="A16" s="50" t="s">
        <v>130</v>
      </c>
      <c r="B16" s="152">
        <v>402161.62</v>
      </c>
      <c r="C16" s="152">
        <f t="shared" ref="C16:C18" si="3">B16*1.004</f>
        <v>403770.2665</v>
      </c>
      <c r="D16" s="50"/>
      <c r="E16" s="50"/>
      <c r="F16" s="50"/>
    </row>
    <row r="17">
      <c r="A17" s="50" t="s">
        <v>132</v>
      </c>
      <c r="B17" s="152">
        <v>34145.32</v>
      </c>
      <c r="C17" s="152">
        <f t="shared" si="3"/>
        <v>34281.90128</v>
      </c>
      <c r="D17" s="50"/>
      <c r="E17" s="50"/>
      <c r="F17" s="50"/>
    </row>
    <row r="18">
      <c r="A18" s="50" t="s">
        <v>133</v>
      </c>
      <c r="B18" s="152">
        <v>324149.86</v>
      </c>
      <c r="C18" s="152">
        <f t="shared" si="3"/>
        <v>325446.4594</v>
      </c>
      <c r="D18" s="50"/>
      <c r="E18" s="50"/>
      <c r="F18" s="50"/>
    </row>
    <row r="19">
      <c r="A19" s="50" t="s">
        <v>137</v>
      </c>
      <c r="B19" s="152">
        <v>46536.34</v>
      </c>
      <c r="C19" s="152" t="s">
        <v>110</v>
      </c>
      <c r="D19" s="50"/>
      <c r="E19" s="50"/>
      <c r="F19" s="50"/>
    </row>
    <row r="20">
      <c r="D20" s="50"/>
      <c r="E20" s="50"/>
      <c r="F20" s="50"/>
    </row>
    <row r="21">
      <c r="A21" s="50" t="s">
        <v>136</v>
      </c>
      <c r="B21" s="50" t="s">
        <v>99</v>
      </c>
      <c r="C21" s="50" t="s">
        <v>129</v>
      </c>
      <c r="D21" s="50"/>
      <c r="E21" s="50"/>
      <c r="F21" s="50"/>
    </row>
    <row r="22">
      <c r="A22" s="50" t="s">
        <v>130</v>
      </c>
      <c r="B22" s="152">
        <v>193414.0</v>
      </c>
      <c r="C22" s="152">
        <f t="shared" ref="C22:C24" si="4">B22*1.004</f>
        <v>194187.656</v>
      </c>
      <c r="D22" s="50"/>
      <c r="E22" s="50"/>
      <c r="F22" s="50"/>
    </row>
    <row r="23">
      <c r="A23" s="50" t="s">
        <v>132</v>
      </c>
      <c r="B23" s="152">
        <v>973.0</v>
      </c>
      <c r="C23" s="152">
        <f t="shared" si="4"/>
        <v>976.892</v>
      </c>
      <c r="D23" s="50"/>
      <c r="E23" s="50"/>
      <c r="F23" s="50"/>
    </row>
    <row r="24">
      <c r="A24" s="50" t="s">
        <v>133</v>
      </c>
      <c r="B24" s="152">
        <v>112437.0</v>
      </c>
      <c r="C24" s="152">
        <f t="shared" si="4"/>
        <v>112886.748</v>
      </c>
      <c r="D24" s="50"/>
      <c r="E24" s="50"/>
      <c r="F24" s="50"/>
    </row>
    <row r="25">
      <c r="A25" s="50" t="s">
        <v>137</v>
      </c>
      <c r="B25" s="152">
        <v>40139.59</v>
      </c>
      <c r="C25" s="152" t="s">
        <v>110</v>
      </c>
      <c r="D25" s="50"/>
      <c r="E25" s="50"/>
      <c r="F25" s="50"/>
    </row>
    <row r="26">
      <c r="A26" s="50" t="s">
        <v>138</v>
      </c>
      <c r="B26" s="152" t="s">
        <v>110</v>
      </c>
      <c r="C26" s="152" t="s">
        <v>110</v>
      </c>
      <c r="D26" s="50"/>
      <c r="E26" s="50"/>
      <c r="F26" s="50"/>
    </row>
    <row r="27">
      <c r="D27" s="50"/>
      <c r="E27" s="50"/>
      <c r="F27" s="50"/>
    </row>
    <row r="28">
      <c r="A28" s="50" t="s">
        <v>139</v>
      </c>
      <c r="B28" s="50" t="s">
        <v>99</v>
      </c>
      <c r="C28" s="50" t="s">
        <v>129</v>
      </c>
      <c r="D28" s="50"/>
      <c r="E28" s="50"/>
      <c r="F28" s="50"/>
    </row>
    <row r="29">
      <c r="A29" s="50" t="s">
        <v>130</v>
      </c>
      <c r="B29" s="152">
        <v>90500.86</v>
      </c>
      <c r="C29" s="152" t="s">
        <v>110</v>
      </c>
      <c r="D29" s="50"/>
      <c r="E29" s="50"/>
      <c r="F29" s="50"/>
    </row>
    <row r="30">
      <c r="A30" s="50" t="s">
        <v>133</v>
      </c>
      <c r="B30" s="152">
        <v>179725.98</v>
      </c>
      <c r="C30" s="152" t="s">
        <v>110</v>
      </c>
      <c r="D30" s="50"/>
      <c r="E30" s="50"/>
      <c r="F30" s="50"/>
    </row>
    <row r="31">
      <c r="D31" s="50"/>
      <c r="E31" s="50"/>
      <c r="F31" s="50"/>
    </row>
    <row r="32">
      <c r="A32" s="50" t="s">
        <v>128</v>
      </c>
      <c r="B32" s="50" t="s">
        <v>99</v>
      </c>
      <c r="C32" s="50" t="s">
        <v>129</v>
      </c>
      <c r="D32" s="50"/>
      <c r="E32" s="50" t="s">
        <v>140</v>
      </c>
      <c r="F32" s="50"/>
    </row>
    <row r="33">
      <c r="A33" s="50" t="s">
        <v>130</v>
      </c>
      <c r="B33" s="153">
        <f>241346.17
</f>
        <v>241346.17</v>
      </c>
      <c r="C33" s="153">
        <f t="shared" ref="C33:C35" si="5">1.004*B33</f>
        <v>242311.5547</v>
      </c>
      <c r="D33" s="50"/>
      <c r="E33" s="154">
        <f t="shared" ref="E33:E35" si="6">C33-B33</f>
        <v>965.38468</v>
      </c>
      <c r="F33" s="50"/>
    </row>
    <row r="34">
      <c r="A34" s="50" t="s">
        <v>132</v>
      </c>
      <c r="B34" s="153">
        <v>102811.81</v>
      </c>
      <c r="C34" s="153">
        <f t="shared" si="5"/>
        <v>103223.0572</v>
      </c>
      <c r="D34" s="50"/>
      <c r="E34" s="154">
        <f t="shared" si="6"/>
        <v>411.24724</v>
      </c>
      <c r="F34" s="50"/>
    </row>
    <row r="35">
      <c r="A35" s="50" t="s">
        <v>133</v>
      </c>
      <c r="B35" s="153">
        <v>244307.08</v>
      </c>
      <c r="C35" s="153">
        <f t="shared" si="5"/>
        <v>245284.3083</v>
      </c>
      <c r="D35" s="50"/>
      <c r="E35" s="154">
        <f t="shared" si="6"/>
        <v>977.22832</v>
      </c>
      <c r="F35" s="50"/>
    </row>
    <row r="36">
      <c r="A36" s="50" t="s">
        <v>137</v>
      </c>
      <c r="B36" s="153">
        <v>50638.39</v>
      </c>
      <c r="C36" s="153" t="s">
        <v>110</v>
      </c>
      <c r="D36" s="50"/>
      <c r="E36" s="50"/>
      <c r="F36" s="50"/>
    </row>
    <row r="37">
      <c r="B37" s="155"/>
      <c r="C37" s="155"/>
      <c r="D37" s="50"/>
      <c r="E37" s="50"/>
      <c r="F37" s="50"/>
    </row>
    <row r="38">
      <c r="A38" s="50" t="s">
        <v>136</v>
      </c>
      <c r="B38" s="50" t="s">
        <v>99</v>
      </c>
      <c r="C38" s="50" t="s">
        <v>129</v>
      </c>
      <c r="D38" s="50"/>
      <c r="E38" s="50" t="s">
        <v>141</v>
      </c>
      <c r="F38" s="50"/>
    </row>
    <row r="39">
      <c r="A39" s="50" t="s">
        <v>130</v>
      </c>
      <c r="B39" s="153">
        <f>57157.37</f>
        <v>57157.37</v>
      </c>
      <c r="C39" s="153">
        <f>1.004*B39</f>
        <v>57385.99948</v>
      </c>
      <c r="D39" s="50"/>
      <c r="E39" s="154">
        <f t="shared" ref="E39:E41" si="7">C39-B39</f>
        <v>228.62948</v>
      </c>
      <c r="F39" s="50"/>
    </row>
    <row r="40">
      <c r="A40" s="50" t="s">
        <v>132</v>
      </c>
      <c r="B40" s="153" t="s">
        <v>110</v>
      </c>
      <c r="C40" s="153"/>
      <c r="D40" s="50"/>
      <c r="E40" s="154" t="str">
        <f t="shared" si="7"/>
        <v>#VALUE!</v>
      </c>
      <c r="F40" s="50"/>
    </row>
    <row r="41">
      <c r="A41" s="50" t="s">
        <v>133</v>
      </c>
      <c r="B41" s="153">
        <v>99318.67</v>
      </c>
      <c r="C41" s="153">
        <f>1.004*B41</f>
        <v>99715.94468</v>
      </c>
      <c r="D41" s="50"/>
      <c r="E41" s="154">
        <f t="shared" si="7"/>
        <v>397.27468</v>
      </c>
      <c r="F41" s="50"/>
    </row>
    <row r="42">
      <c r="A42" s="50" t="s">
        <v>137</v>
      </c>
      <c r="B42" s="153">
        <v>46245.43</v>
      </c>
      <c r="C42" s="153" t="s">
        <v>110</v>
      </c>
      <c r="D42" s="50"/>
      <c r="E42" s="50"/>
      <c r="F42" s="50"/>
    </row>
    <row r="43">
      <c r="D43" s="50"/>
      <c r="E43" s="50"/>
      <c r="F43" s="50"/>
    </row>
    <row r="44">
      <c r="A44" s="50" t="s">
        <v>142</v>
      </c>
      <c r="B44" s="50" t="s">
        <v>99</v>
      </c>
      <c r="D44" s="50"/>
      <c r="E44" s="50"/>
      <c r="F44" s="50"/>
    </row>
    <row r="45">
      <c r="A45" s="50" t="s">
        <v>97</v>
      </c>
      <c r="B45" s="50"/>
      <c r="C45" s="50"/>
      <c r="D45" s="50"/>
      <c r="E45" s="50"/>
      <c r="F45" s="50"/>
    </row>
    <row r="46">
      <c r="A46" s="50" t="s">
        <v>133</v>
      </c>
      <c r="B46" s="50"/>
      <c r="C46" s="50"/>
      <c r="D46" s="50"/>
      <c r="E46" s="50"/>
      <c r="F46" s="50"/>
    </row>
    <row r="47">
      <c r="D47" s="50"/>
      <c r="E47" s="50"/>
      <c r="F47" s="50"/>
    </row>
    <row r="48">
      <c r="A48" s="50" t="s">
        <v>143</v>
      </c>
      <c r="B48" s="50" t="s">
        <v>99</v>
      </c>
      <c r="D48" s="50"/>
      <c r="E48" s="50"/>
      <c r="F48" s="50"/>
    </row>
    <row r="49">
      <c r="A49" s="50" t="s">
        <v>97</v>
      </c>
      <c r="B49" s="50"/>
      <c r="C49" s="50"/>
      <c r="D49" s="50"/>
      <c r="E49" s="50"/>
      <c r="F49" s="50"/>
    </row>
    <row r="50">
      <c r="A50" s="50"/>
      <c r="B50" s="50"/>
      <c r="C50" s="50"/>
      <c r="D50" s="50"/>
      <c r="E50" s="50"/>
      <c r="F50" s="50"/>
    </row>
    <row r="51">
      <c r="A51" s="50"/>
      <c r="B51" s="50"/>
      <c r="C51" s="50"/>
      <c r="D51" s="50"/>
      <c r="E51" s="50"/>
      <c r="F51" s="50"/>
    </row>
    <row r="52">
      <c r="A52" s="1" t="s">
        <v>144</v>
      </c>
      <c r="B52" s="150"/>
      <c r="D52" s="151"/>
      <c r="E52" s="150"/>
      <c r="G52" s="3"/>
      <c r="H52" s="3"/>
      <c r="I52" s="4"/>
      <c r="J52" s="4"/>
      <c r="K52" s="5"/>
      <c r="L52" s="5"/>
      <c r="M52" s="5"/>
      <c r="N52" s="5"/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>
      <c r="A53" s="50" t="s">
        <v>128</v>
      </c>
      <c r="B53" s="50" t="s">
        <v>99</v>
      </c>
      <c r="C53" s="50" t="s">
        <v>129</v>
      </c>
      <c r="D53" s="50"/>
      <c r="E53" s="50"/>
      <c r="F53" s="50"/>
    </row>
    <row r="54">
      <c r="A54" s="50" t="s">
        <v>130</v>
      </c>
      <c r="B54" s="152">
        <v>374547.79</v>
      </c>
      <c r="C54" s="152">
        <f t="shared" ref="C54:C58" si="8">B54*1.004</f>
        <v>376045.9812</v>
      </c>
      <c r="D54" s="50"/>
      <c r="E54" s="50"/>
      <c r="F54" s="50"/>
    </row>
    <row r="55">
      <c r="A55" s="50" t="s">
        <v>131</v>
      </c>
      <c r="B55" s="152">
        <v>1641.7</v>
      </c>
      <c r="C55" s="152">
        <f t="shared" si="8"/>
        <v>1648.2668</v>
      </c>
      <c r="D55" s="50"/>
      <c r="E55" s="50"/>
      <c r="F55" s="50"/>
    </row>
    <row r="56">
      <c r="A56" s="50" t="s">
        <v>132</v>
      </c>
      <c r="B56" s="152">
        <v>46609.34</v>
      </c>
      <c r="C56" s="152">
        <f t="shared" si="8"/>
        <v>46795.77736</v>
      </c>
      <c r="D56" s="50"/>
      <c r="E56" s="50"/>
      <c r="F56" s="50"/>
    </row>
    <row r="57">
      <c r="A57" s="50" t="s">
        <v>133</v>
      </c>
      <c r="B57" s="152">
        <v>177007.21</v>
      </c>
      <c r="C57" s="152">
        <f t="shared" si="8"/>
        <v>177715.2388</v>
      </c>
      <c r="D57" s="50"/>
      <c r="E57" s="50"/>
      <c r="F57" s="50"/>
    </row>
    <row r="58">
      <c r="A58" s="50" t="s">
        <v>134</v>
      </c>
      <c r="B58" s="152">
        <v>126.26</v>
      </c>
      <c r="C58" s="152">
        <f t="shared" si="8"/>
        <v>126.76504</v>
      </c>
      <c r="D58" s="50"/>
      <c r="E58" s="50"/>
      <c r="F58" s="50"/>
    </row>
    <row r="59">
      <c r="A59" s="50" t="s">
        <v>135</v>
      </c>
      <c r="B59" s="152"/>
      <c r="C59" s="152"/>
      <c r="D59" s="50"/>
      <c r="E59" s="50"/>
      <c r="F59" s="50"/>
    </row>
    <row r="60">
      <c r="D60" s="50"/>
      <c r="E60" s="50"/>
      <c r="F60" s="50"/>
    </row>
    <row r="61">
      <c r="A61" s="50" t="s">
        <v>136</v>
      </c>
      <c r="B61" s="50" t="s">
        <v>99</v>
      </c>
      <c r="C61" s="50" t="s">
        <v>129</v>
      </c>
      <c r="D61" s="50"/>
      <c r="E61" s="50"/>
      <c r="F61" s="50"/>
    </row>
    <row r="62">
      <c r="A62" s="50" t="s">
        <v>130</v>
      </c>
      <c r="B62" s="152">
        <v>176007.88</v>
      </c>
      <c r="C62" s="152">
        <f t="shared" ref="C62:C64" si="9">B62*1.004</f>
        <v>176711.9115</v>
      </c>
      <c r="D62" s="50"/>
      <c r="E62" s="50"/>
      <c r="F62" s="50"/>
    </row>
    <row r="63">
      <c r="A63" s="50" t="s">
        <v>132</v>
      </c>
      <c r="B63" s="152">
        <v>8020.75</v>
      </c>
      <c r="C63" s="152">
        <f t="shared" si="9"/>
        <v>8052.833</v>
      </c>
      <c r="D63" s="50"/>
      <c r="E63" s="50"/>
      <c r="F63" s="50"/>
    </row>
    <row r="64">
      <c r="A64" s="50" t="s">
        <v>133</v>
      </c>
      <c r="B64" s="152">
        <v>92012.21</v>
      </c>
      <c r="C64" s="152">
        <f t="shared" si="9"/>
        <v>92380.25884</v>
      </c>
      <c r="D64" s="50"/>
      <c r="E64" s="50"/>
      <c r="F64" s="50"/>
    </row>
    <row r="65">
      <c r="C65" s="152"/>
      <c r="D65" s="50"/>
      <c r="E65" s="50"/>
      <c r="F65" s="50"/>
    </row>
    <row r="66">
      <c r="A66" s="50" t="s">
        <v>128</v>
      </c>
      <c r="B66" s="50" t="s">
        <v>99</v>
      </c>
      <c r="C66" s="50" t="s">
        <v>129</v>
      </c>
      <c r="D66" s="50"/>
      <c r="E66" s="50"/>
      <c r="F66" s="50"/>
    </row>
    <row r="67">
      <c r="A67" s="50" t="s">
        <v>130</v>
      </c>
      <c r="B67" s="152">
        <v>404009.94</v>
      </c>
      <c r="C67" s="152">
        <f t="shared" ref="C67:C69" si="10">B67*1.004</f>
        <v>405625.9798</v>
      </c>
      <c r="D67" s="50"/>
      <c r="E67" s="50"/>
      <c r="F67" s="50"/>
    </row>
    <row r="68">
      <c r="A68" s="50" t="s">
        <v>132</v>
      </c>
      <c r="B68" s="152">
        <v>83996.16</v>
      </c>
      <c r="C68" s="152">
        <f t="shared" si="10"/>
        <v>84332.14464</v>
      </c>
      <c r="D68" s="50"/>
      <c r="E68" s="50"/>
      <c r="F68" s="50"/>
    </row>
    <row r="69">
      <c r="A69" s="50" t="s">
        <v>133</v>
      </c>
      <c r="B69" s="152">
        <v>385784.35</v>
      </c>
      <c r="C69" s="152">
        <f t="shared" si="10"/>
        <v>387327.4874</v>
      </c>
      <c r="D69" s="50"/>
      <c r="E69" s="50"/>
      <c r="F69" s="50"/>
    </row>
    <row r="70">
      <c r="A70" s="50" t="s">
        <v>137</v>
      </c>
      <c r="B70" s="152">
        <v>18677.06</v>
      </c>
      <c r="C70" s="152" t="s">
        <v>110</v>
      </c>
      <c r="D70" s="50"/>
      <c r="E70" s="50"/>
      <c r="F70" s="50"/>
    </row>
    <row r="71">
      <c r="D71" s="50"/>
      <c r="E71" s="50"/>
      <c r="F71" s="50"/>
    </row>
    <row r="72">
      <c r="A72" s="50" t="s">
        <v>136</v>
      </c>
      <c r="B72" s="50" t="s">
        <v>99</v>
      </c>
      <c r="C72" s="50" t="s">
        <v>129</v>
      </c>
      <c r="D72" s="50"/>
      <c r="E72" s="50"/>
      <c r="F72" s="50"/>
    </row>
    <row r="73">
      <c r="A73" s="50" t="s">
        <v>130</v>
      </c>
      <c r="B73" s="152">
        <v>169813.44</v>
      </c>
      <c r="C73" s="152">
        <f t="shared" ref="C73:C75" si="11">B73*1.004</f>
        <v>170492.6938</v>
      </c>
      <c r="D73" s="50"/>
      <c r="E73" s="50"/>
      <c r="F73" s="50"/>
    </row>
    <row r="74">
      <c r="A74" s="50" t="s">
        <v>132</v>
      </c>
      <c r="B74" s="152">
        <v>10649.04</v>
      </c>
      <c r="C74" s="152">
        <f t="shared" si="11"/>
        <v>10691.63616</v>
      </c>
      <c r="D74" s="50"/>
      <c r="E74" s="50"/>
      <c r="F74" s="50"/>
    </row>
    <row r="75">
      <c r="A75" s="50" t="s">
        <v>133</v>
      </c>
      <c r="B75" s="152">
        <v>114123.24</v>
      </c>
      <c r="C75" s="152">
        <f t="shared" si="11"/>
        <v>114579.733</v>
      </c>
      <c r="D75" s="50"/>
      <c r="E75" s="50"/>
      <c r="F75" s="50"/>
    </row>
    <row r="76">
      <c r="A76" s="50" t="s">
        <v>137</v>
      </c>
      <c r="B76" s="152" t="s">
        <v>110</v>
      </c>
      <c r="C76" s="152" t="s">
        <v>110</v>
      </c>
      <c r="D76" s="50"/>
      <c r="E76" s="50"/>
      <c r="F76" s="50"/>
    </row>
    <row r="77">
      <c r="A77" s="50" t="s">
        <v>138</v>
      </c>
      <c r="B77" s="152">
        <v>3607.61</v>
      </c>
      <c r="C77" s="152" t="s">
        <v>110</v>
      </c>
      <c r="D77" s="50"/>
      <c r="E77" s="50"/>
      <c r="F77" s="50"/>
    </row>
    <row r="78">
      <c r="D78" s="50"/>
      <c r="E78" s="50"/>
      <c r="F78" s="50"/>
    </row>
    <row r="79">
      <c r="A79" s="50" t="s">
        <v>139</v>
      </c>
      <c r="B79" s="50" t="s">
        <v>99</v>
      </c>
      <c r="C79" s="50" t="s">
        <v>129</v>
      </c>
      <c r="D79" s="50"/>
      <c r="E79" s="50"/>
      <c r="F79" s="50"/>
    </row>
    <row r="80">
      <c r="A80" s="50" t="s">
        <v>130</v>
      </c>
      <c r="B80" s="152">
        <v>77082.87</v>
      </c>
      <c r="C80" s="152" t="s">
        <v>110</v>
      </c>
      <c r="D80" s="50"/>
      <c r="E80" s="50"/>
      <c r="F80" s="50"/>
    </row>
    <row r="81">
      <c r="A81" s="50" t="s">
        <v>133</v>
      </c>
      <c r="B81" s="152">
        <v>151701.0</v>
      </c>
      <c r="C81" s="152" t="s">
        <v>110</v>
      </c>
      <c r="D81" s="50"/>
      <c r="E81" s="50"/>
      <c r="F81" s="50"/>
    </row>
    <row r="82">
      <c r="D82" s="50"/>
      <c r="E82" s="50"/>
      <c r="F82" s="50"/>
    </row>
    <row r="83">
      <c r="A83" s="50" t="s">
        <v>128</v>
      </c>
      <c r="B83" s="50" t="s">
        <v>99</v>
      </c>
      <c r="C83" s="50" t="s">
        <v>129</v>
      </c>
      <c r="D83" s="50"/>
      <c r="E83" s="50"/>
      <c r="F83" s="50"/>
    </row>
    <row r="84">
      <c r="A84" s="50" t="s">
        <v>130</v>
      </c>
      <c r="B84" s="153">
        <v>391761.58</v>
      </c>
      <c r="C84" s="153">
        <f t="shared" ref="C84:C86" si="12">1.004*B84</f>
        <v>393328.6263</v>
      </c>
      <c r="D84" s="50"/>
      <c r="E84" s="50"/>
      <c r="F84" s="50"/>
    </row>
    <row r="85">
      <c r="A85" s="50" t="s">
        <v>132</v>
      </c>
      <c r="B85" s="153">
        <v>97801.24</v>
      </c>
      <c r="C85" s="153">
        <f t="shared" si="12"/>
        <v>98192.44496</v>
      </c>
      <c r="D85" s="50"/>
      <c r="E85" s="50"/>
      <c r="F85" s="50"/>
    </row>
    <row r="86">
      <c r="A86" s="50" t="s">
        <v>133</v>
      </c>
      <c r="B86" s="153">
        <v>202130.56</v>
      </c>
      <c r="C86" s="153">
        <f t="shared" si="12"/>
        <v>202939.0822</v>
      </c>
      <c r="D86" s="50"/>
      <c r="E86" s="50"/>
      <c r="F86" s="50"/>
    </row>
    <row r="87">
      <c r="A87" s="50" t="s">
        <v>137</v>
      </c>
      <c r="B87" s="153">
        <f>1.004*32615.55</f>
        <v>32746.0122</v>
      </c>
      <c r="C87" s="153" t="s">
        <v>110</v>
      </c>
      <c r="D87" s="50"/>
      <c r="E87" s="50"/>
      <c r="F87" s="50"/>
    </row>
    <row r="88">
      <c r="B88" s="155"/>
      <c r="C88" s="155"/>
      <c r="D88" s="50"/>
      <c r="E88" s="50"/>
      <c r="F88" s="50"/>
    </row>
    <row r="89">
      <c r="A89" s="50" t="s">
        <v>136</v>
      </c>
      <c r="B89" s="50" t="s">
        <v>99</v>
      </c>
      <c r="C89" s="50" t="s">
        <v>129</v>
      </c>
      <c r="D89" s="50"/>
      <c r="E89" s="50"/>
      <c r="F89" s="50"/>
    </row>
    <row r="90">
      <c r="A90" s="50" t="s">
        <v>130</v>
      </c>
      <c r="B90" s="153">
        <v>53836.44</v>
      </c>
      <c r="C90" s="153">
        <f>1.004*B90</f>
        <v>54051.78576</v>
      </c>
      <c r="D90" s="50"/>
      <c r="E90" s="50"/>
      <c r="F90" s="50"/>
    </row>
    <row r="91">
      <c r="A91" s="50" t="s">
        <v>132</v>
      </c>
      <c r="B91" s="153">
        <v>0.0</v>
      </c>
      <c r="C91" s="153"/>
      <c r="D91" s="50"/>
      <c r="E91" s="50"/>
      <c r="F91" s="50"/>
    </row>
    <row r="92">
      <c r="A92" s="50" t="s">
        <v>133</v>
      </c>
      <c r="B92" s="153">
        <v>81774.57</v>
      </c>
      <c r="C92" s="153">
        <f>1.004*B92</f>
        <v>82101.66828</v>
      </c>
      <c r="D92" s="50"/>
      <c r="E92" s="50"/>
      <c r="F92" s="50"/>
    </row>
    <row r="93">
      <c r="A93" s="50" t="s">
        <v>137</v>
      </c>
      <c r="B93" s="153">
        <v>33579.88</v>
      </c>
      <c r="C93" s="153" t="s">
        <v>110</v>
      </c>
      <c r="D93" s="50"/>
      <c r="E93" s="50"/>
      <c r="F93" s="50"/>
    </row>
    <row r="94">
      <c r="D94" s="50"/>
      <c r="E94" s="50"/>
      <c r="F94" s="50"/>
    </row>
    <row r="95">
      <c r="A95" s="50" t="s">
        <v>142</v>
      </c>
      <c r="B95" s="50" t="s">
        <v>99</v>
      </c>
      <c r="D95" s="50"/>
      <c r="E95" s="50"/>
      <c r="F95" s="50"/>
    </row>
    <row r="96">
      <c r="A96" s="50" t="s">
        <v>97</v>
      </c>
      <c r="B96" s="50"/>
      <c r="C96" s="50"/>
      <c r="D96" s="50"/>
      <c r="E96" s="50"/>
      <c r="F96" s="50"/>
    </row>
    <row r="97">
      <c r="A97" s="50" t="s">
        <v>133</v>
      </c>
      <c r="B97" s="50"/>
      <c r="C97" s="50"/>
      <c r="D97" s="50"/>
      <c r="E97" s="50"/>
      <c r="F97" s="50"/>
    </row>
    <row r="98">
      <c r="D98" s="50"/>
      <c r="E98" s="50"/>
      <c r="F98" s="50"/>
    </row>
    <row r="99">
      <c r="A99" s="50" t="s">
        <v>143</v>
      </c>
      <c r="B99" s="50" t="s">
        <v>99</v>
      </c>
      <c r="D99" s="50"/>
      <c r="E99" s="50"/>
      <c r="F99" s="50"/>
    </row>
    <row r="100">
      <c r="A100" s="50" t="s">
        <v>97</v>
      </c>
      <c r="B100" s="50"/>
      <c r="C100" s="50"/>
      <c r="D100" s="50"/>
      <c r="E100" s="50"/>
      <c r="F100" s="50"/>
    </row>
    <row r="101">
      <c r="A101" s="50"/>
      <c r="B101" s="50"/>
      <c r="C101" s="50"/>
      <c r="D101" s="50"/>
      <c r="E101" s="50"/>
      <c r="F101" s="50"/>
    </row>
    <row r="102">
      <c r="A102" s="50"/>
      <c r="B102" s="50"/>
      <c r="C102" s="50"/>
      <c r="D102" s="50"/>
      <c r="E102" s="50"/>
      <c r="F102" s="50"/>
    </row>
    <row r="103">
      <c r="A103" s="156" t="s">
        <v>145</v>
      </c>
      <c r="B103" s="50"/>
      <c r="C103" s="50"/>
      <c r="D103" s="50"/>
      <c r="E103" s="50"/>
      <c r="F103" s="50"/>
    </row>
    <row r="104">
      <c r="A104" s="50" t="s">
        <v>128</v>
      </c>
      <c r="B104" s="50" t="s">
        <v>99</v>
      </c>
      <c r="C104" s="50" t="s">
        <v>129</v>
      </c>
      <c r="D104" s="50"/>
    </row>
    <row r="105">
      <c r="A105" s="50" t="s">
        <v>130</v>
      </c>
      <c r="B105" s="152">
        <v>417885.69</v>
      </c>
      <c r="C105" s="152">
        <f t="shared" ref="C105:C109" si="13">B105*1.004</f>
        <v>419557.2328</v>
      </c>
      <c r="D105" s="152"/>
    </row>
    <row r="106">
      <c r="A106" s="50" t="s">
        <v>131</v>
      </c>
      <c r="B106" s="152">
        <v>3081.99</v>
      </c>
      <c r="C106" s="152">
        <f t="shared" si="13"/>
        <v>3094.31796</v>
      </c>
      <c r="D106" s="152"/>
    </row>
    <row r="107">
      <c r="A107" s="50" t="s">
        <v>132</v>
      </c>
      <c r="B107" s="152">
        <v>61697.03</v>
      </c>
      <c r="C107" s="152">
        <f t="shared" si="13"/>
        <v>61943.81812</v>
      </c>
      <c r="D107" s="152"/>
    </row>
    <row r="108">
      <c r="A108" s="50" t="s">
        <v>133</v>
      </c>
      <c r="B108" s="152">
        <v>279020.52</v>
      </c>
      <c r="C108" s="152">
        <f t="shared" si="13"/>
        <v>280136.6021</v>
      </c>
      <c r="D108" s="152"/>
    </row>
    <row r="109">
      <c r="A109" s="50" t="s">
        <v>134</v>
      </c>
      <c r="B109" s="152">
        <v>155.16</v>
      </c>
      <c r="C109" s="152">
        <f t="shared" si="13"/>
        <v>155.78064</v>
      </c>
      <c r="D109" s="152"/>
    </row>
    <row r="110">
      <c r="A110" s="50" t="s">
        <v>135</v>
      </c>
      <c r="B110" s="152"/>
      <c r="D110" s="152"/>
    </row>
    <row r="112">
      <c r="A112" s="50" t="s">
        <v>136</v>
      </c>
      <c r="B112" s="50" t="s">
        <v>99</v>
      </c>
      <c r="C112" s="50" t="s">
        <v>129</v>
      </c>
      <c r="D112" s="50"/>
    </row>
    <row r="113">
      <c r="A113" s="50" t="s">
        <v>130</v>
      </c>
      <c r="B113" s="152">
        <v>124416.62</v>
      </c>
      <c r="C113" s="152">
        <f t="shared" ref="C113:C115" si="14">B113*1.004</f>
        <v>124914.2865</v>
      </c>
      <c r="D113" s="152"/>
    </row>
    <row r="114">
      <c r="A114" s="50" t="s">
        <v>132</v>
      </c>
      <c r="B114" s="152">
        <v>5638.74</v>
      </c>
      <c r="C114" s="152">
        <f t="shared" si="14"/>
        <v>5661.29496</v>
      </c>
      <c r="D114" s="152"/>
    </row>
    <row r="115">
      <c r="A115" s="50" t="s">
        <v>133</v>
      </c>
      <c r="B115" s="152">
        <v>29854.0</v>
      </c>
      <c r="C115" s="152">
        <f t="shared" si="14"/>
        <v>29973.416</v>
      </c>
      <c r="D115" s="152"/>
    </row>
    <row r="117">
      <c r="A117" s="50" t="s">
        <v>128</v>
      </c>
      <c r="B117" s="50" t="s">
        <v>99</v>
      </c>
      <c r="C117" s="50" t="s">
        <v>129</v>
      </c>
      <c r="D117" s="50"/>
    </row>
    <row r="118">
      <c r="A118" s="50" t="s">
        <v>130</v>
      </c>
      <c r="B118" s="152">
        <v>413340.61</v>
      </c>
      <c r="C118" s="152">
        <f t="shared" ref="C118:C120" si="15">B118*1.004</f>
        <v>414993.9724</v>
      </c>
      <c r="D118" s="152"/>
    </row>
    <row r="119">
      <c r="A119" s="50" t="s">
        <v>132</v>
      </c>
      <c r="B119" s="152">
        <v>9635.96</v>
      </c>
      <c r="C119" s="152">
        <f t="shared" si="15"/>
        <v>9674.50384</v>
      </c>
      <c r="D119" s="152"/>
    </row>
    <row r="120">
      <c r="A120" s="50" t="s">
        <v>133</v>
      </c>
      <c r="B120" s="152">
        <v>417826.99</v>
      </c>
      <c r="C120" s="152">
        <f t="shared" si="15"/>
        <v>419498.298</v>
      </c>
      <c r="D120" s="152"/>
    </row>
    <row r="121">
      <c r="A121" s="50" t="s">
        <v>137</v>
      </c>
      <c r="B121" s="152">
        <v>25501.67</v>
      </c>
      <c r="C121" s="152" t="s">
        <v>110</v>
      </c>
      <c r="D121" s="152"/>
    </row>
    <row r="123">
      <c r="A123" s="50" t="s">
        <v>136</v>
      </c>
      <c r="B123" s="50" t="s">
        <v>99</v>
      </c>
      <c r="C123" s="50" t="s">
        <v>129</v>
      </c>
      <c r="D123" s="50"/>
    </row>
    <row r="124">
      <c r="A124" s="50" t="s">
        <v>130</v>
      </c>
      <c r="B124" s="152">
        <v>140960.0</v>
      </c>
      <c r="C124" s="152">
        <f t="shared" ref="C124:C126" si="16">B124*1.004</f>
        <v>141523.84</v>
      </c>
      <c r="D124" s="152"/>
    </row>
    <row r="125">
      <c r="A125" s="50" t="s">
        <v>132</v>
      </c>
      <c r="B125" s="152">
        <v>8152.38</v>
      </c>
      <c r="C125" s="152">
        <f t="shared" si="16"/>
        <v>8184.98952</v>
      </c>
      <c r="D125" s="152"/>
    </row>
    <row r="126">
      <c r="A126" s="50" t="s">
        <v>133</v>
      </c>
      <c r="B126" s="152">
        <v>100852.02</v>
      </c>
      <c r="C126" s="152">
        <f t="shared" si="16"/>
        <v>101255.4281</v>
      </c>
      <c r="D126" s="152"/>
    </row>
    <row r="127">
      <c r="A127" s="50" t="s">
        <v>137</v>
      </c>
      <c r="B127" s="152">
        <f>14997.15+62999.52</f>
        <v>77996.67</v>
      </c>
      <c r="C127" s="152" t="s">
        <v>110</v>
      </c>
      <c r="D127" s="152"/>
    </row>
    <row r="128">
      <c r="A128" s="50" t="s">
        <v>138</v>
      </c>
      <c r="B128" s="152">
        <v>20001.22</v>
      </c>
      <c r="C128" s="157" t="s">
        <v>110</v>
      </c>
      <c r="D128" s="152"/>
    </row>
    <row r="130">
      <c r="A130" s="50" t="s">
        <v>146</v>
      </c>
      <c r="B130" s="50" t="s">
        <v>99</v>
      </c>
      <c r="C130" s="50" t="s">
        <v>129</v>
      </c>
      <c r="D130" s="50"/>
    </row>
    <row r="131">
      <c r="A131" s="50" t="s">
        <v>130</v>
      </c>
      <c r="B131" s="152">
        <v>83961.89</v>
      </c>
      <c r="C131" s="152" t="s">
        <v>110</v>
      </c>
      <c r="D131" s="152"/>
    </row>
    <row r="132">
      <c r="A132" s="50" t="s">
        <v>133</v>
      </c>
      <c r="B132" s="152">
        <v>128280.66</v>
      </c>
      <c r="C132" s="152" t="s">
        <v>110</v>
      </c>
      <c r="D132" s="152"/>
    </row>
    <row r="134">
      <c r="A134" s="50" t="s">
        <v>128</v>
      </c>
      <c r="B134" s="50" t="s">
        <v>99</v>
      </c>
      <c r="C134" s="50" t="s">
        <v>129</v>
      </c>
      <c r="D134" s="50"/>
    </row>
    <row r="135">
      <c r="A135" s="50" t="s">
        <v>130</v>
      </c>
      <c r="B135" s="153">
        <v>515342.01</v>
      </c>
      <c r="C135" s="158">
        <f t="shared" ref="C135:C137" si="17">B135*1.004</f>
        <v>517403.378</v>
      </c>
      <c r="D135" s="153"/>
    </row>
    <row r="136">
      <c r="A136" s="50" t="s">
        <v>132</v>
      </c>
      <c r="B136" s="153">
        <v>28028.62</v>
      </c>
      <c r="C136" s="158">
        <f t="shared" si="17"/>
        <v>28140.73448</v>
      </c>
      <c r="D136" s="153"/>
    </row>
    <row r="137">
      <c r="A137" s="50" t="s">
        <v>133</v>
      </c>
      <c r="B137" s="153">
        <v>154791.05</v>
      </c>
      <c r="C137" s="158">
        <f t="shared" si="17"/>
        <v>155410.2142</v>
      </c>
      <c r="D137" s="153"/>
    </row>
    <row r="138">
      <c r="A138" s="50" t="s">
        <v>137</v>
      </c>
      <c r="B138" s="153">
        <v>25982.24</v>
      </c>
      <c r="C138" s="158" t="s">
        <v>110</v>
      </c>
      <c r="D138" s="153"/>
    </row>
    <row r="139">
      <c r="B139" s="155"/>
      <c r="C139" s="155"/>
      <c r="D139" s="155"/>
    </row>
    <row r="140">
      <c r="A140" s="50" t="s">
        <v>136</v>
      </c>
      <c r="B140" s="159" t="s">
        <v>99</v>
      </c>
      <c r="C140" s="159" t="s">
        <v>129</v>
      </c>
      <c r="D140" s="159"/>
    </row>
    <row r="141">
      <c r="A141" s="50" t="s">
        <v>130</v>
      </c>
      <c r="B141" s="153">
        <v>46656.17</v>
      </c>
      <c r="C141" s="153">
        <f t="shared" ref="C141:C143" si="18">B141*1.004</f>
        <v>46842.79468</v>
      </c>
      <c r="D141" s="153"/>
    </row>
    <row r="142">
      <c r="A142" s="50" t="s">
        <v>132</v>
      </c>
      <c r="B142" s="153">
        <v>0.0</v>
      </c>
      <c r="C142" s="153">
        <f t="shared" si="18"/>
        <v>0</v>
      </c>
      <c r="D142" s="153"/>
    </row>
    <row r="143">
      <c r="A143" s="50" t="s">
        <v>133</v>
      </c>
      <c r="B143" s="153">
        <v>94001.51</v>
      </c>
      <c r="C143" s="153">
        <f t="shared" si="18"/>
        <v>94377.51604</v>
      </c>
      <c r="D143" s="153"/>
    </row>
    <row r="144">
      <c r="A144" s="50" t="s">
        <v>137</v>
      </c>
      <c r="B144" s="153">
        <v>46204.43</v>
      </c>
      <c r="C144" s="153" t="s">
        <v>110</v>
      </c>
      <c r="D144" s="153"/>
    </row>
    <row r="146">
      <c r="A146" s="50" t="s">
        <v>147</v>
      </c>
      <c r="B146" s="159" t="s">
        <v>99</v>
      </c>
      <c r="D146" s="159"/>
    </row>
    <row r="147">
      <c r="A147" s="50" t="s">
        <v>97</v>
      </c>
      <c r="B147" s="50" t="s">
        <v>148</v>
      </c>
      <c r="D147" s="50"/>
    </row>
    <row r="148">
      <c r="A148" s="50" t="s">
        <v>133</v>
      </c>
      <c r="B148" s="50" t="s">
        <v>149</v>
      </c>
      <c r="D148" s="50"/>
    </row>
    <row r="150">
      <c r="A150" s="50" t="s">
        <v>143</v>
      </c>
      <c r="B150" s="159" t="s">
        <v>99</v>
      </c>
      <c r="D150" s="159"/>
    </row>
    <row r="151">
      <c r="A151" s="50" t="s">
        <v>97</v>
      </c>
      <c r="B151" s="50" t="s">
        <v>150</v>
      </c>
      <c r="D151" s="50"/>
    </row>
  </sheetData>
  <mergeCells count="4">
    <mergeCell ref="B1:C1"/>
    <mergeCell ref="E1:F1"/>
    <mergeCell ref="B52:C52"/>
    <mergeCell ref="E52:F5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0"/>
    <col customWidth="1" min="7" max="7" width="16.71"/>
  </cols>
  <sheetData>
    <row r="1">
      <c r="A1" s="160" t="s">
        <v>151</v>
      </c>
      <c r="B1" s="2" t="s">
        <v>1</v>
      </c>
      <c r="C1" s="3" t="s">
        <v>2</v>
      </c>
      <c r="D1" s="3" t="s">
        <v>3</v>
      </c>
      <c r="E1" s="3" t="s">
        <v>4</v>
      </c>
      <c r="F1" s="23"/>
      <c r="G1" s="160" t="s">
        <v>152</v>
      </c>
      <c r="H1" s="2" t="s">
        <v>1</v>
      </c>
      <c r="I1" s="3" t="s">
        <v>2</v>
      </c>
      <c r="J1" s="3" t="s">
        <v>3</v>
      </c>
      <c r="K1" s="3" t="s">
        <v>4</v>
      </c>
      <c r="L1" s="2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>
      <c r="A2" s="161" t="s">
        <v>12</v>
      </c>
      <c r="B2" s="9">
        <f t="shared" ref="B2:C2" si="1">B8+B13+B20</f>
        <v>203</v>
      </c>
      <c r="C2" s="162">
        <f t="shared" si="1"/>
        <v>195</v>
      </c>
      <c r="D2" s="163">
        <f t="shared" ref="D2:D4" si="3">C2/B2</f>
        <v>0.960591133</v>
      </c>
      <c r="E2" s="164">
        <f>B2-C2</f>
        <v>8</v>
      </c>
      <c r="F2" s="22"/>
      <c r="G2" s="161" t="s">
        <v>12</v>
      </c>
      <c r="H2" s="9">
        <v>175.0</v>
      </c>
      <c r="I2" s="47">
        <f>I8+I13+I20</f>
        <v>172</v>
      </c>
      <c r="J2" s="163">
        <f t="shared" ref="J2:J4" si="4">I2/H2</f>
        <v>0.9828571429</v>
      </c>
      <c r="K2" s="164">
        <f>H2-I2</f>
        <v>3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2"/>
      <c r="AK2" s="22"/>
      <c r="AL2" s="165"/>
      <c r="AM2" s="22"/>
    </row>
    <row r="3">
      <c r="A3" s="161" t="s">
        <v>13</v>
      </c>
      <c r="B3" s="9">
        <f t="shared" ref="B3:C3" si="2">B4/B2</f>
        <v>4226.108374</v>
      </c>
      <c r="C3" s="166">
        <f t="shared" si="2"/>
        <v>3561.334103</v>
      </c>
      <c r="D3" s="167">
        <f t="shared" si="3"/>
        <v>0.8426982432</v>
      </c>
      <c r="E3" s="164"/>
      <c r="F3" s="22"/>
      <c r="G3" s="161" t="s">
        <v>13</v>
      </c>
      <c r="H3" s="9">
        <v>1120.0</v>
      </c>
      <c r="I3" s="168">
        <f>I4/I2</f>
        <v>791.5898837</v>
      </c>
      <c r="J3" s="167">
        <f t="shared" si="4"/>
        <v>0.7067766819</v>
      </c>
      <c r="K3" s="16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169"/>
      <c r="AK3" s="22"/>
      <c r="AL3" s="37"/>
      <c r="AM3" s="37"/>
    </row>
    <row r="4">
      <c r="A4" s="161" t="s">
        <v>14</v>
      </c>
      <c r="B4" s="9">
        <f t="shared" ref="B4:C4" si="5">B10+B15+B22</f>
        <v>857900</v>
      </c>
      <c r="C4" s="166">
        <f t="shared" si="5"/>
        <v>694460.15</v>
      </c>
      <c r="D4" s="163">
        <f t="shared" si="3"/>
        <v>0.8094884602</v>
      </c>
      <c r="E4" s="22">
        <f>B4-C4</f>
        <v>163439.85</v>
      </c>
      <c r="F4" s="22"/>
      <c r="G4" s="161" t="s">
        <v>65</v>
      </c>
      <c r="H4" s="9">
        <v>196000.0</v>
      </c>
      <c r="I4" s="130">
        <f>I10+I22</f>
        <v>136153.46</v>
      </c>
      <c r="J4" s="170">
        <f t="shared" si="4"/>
        <v>0.6946605102</v>
      </c>
      <c r="K4" s="9">
        <f>H4-I4</f>
        <v>59846.54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>
      <c r="A5" s="171"/>
      <c r="B5" s="23"/>
      <c r="C5" s="23"/>
      <c r="D5" s="172"/>
      <c r="E5" s="173"/>
      <c r="F5" s="23"/>
      <c r="G5" s="171"/>
      <c r="H5" s="23"/>
      <c r="I5" s="23"/>
      <c r="J5" s="23"/>
      <c r="K5" s="17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>
      <c r="A6" s="174" t="s">
        <v>153</v>
      </c>
      <c r="B6" s="171"/>
      <c r="C6" s="171"/>
      <c r="D6" s="175"/>
      <c r="E6" s="176" t="s">
        <v>44</v>
      </c>
      <c r="F6" s="23"/>
      <c r="G6" s="177" t="s">
        <v>66</v>
      </c>
      <c r="H6" s="171"/>
      <c r="I6" s="171"/>
      <c r="J6" s="171"/>
      <c r="K6" s="17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>
      <c r="A7" s="71" t="s">
        <v>46</v>
      </c>
      <c r="B7" s="27" t="s">
        <v>1</v>
      </c>
      <c r="C7" s="28" t="s">
        <v>2</v>
      </c>
      <c r="D7" s="178" t="s">
        <v>3</v>
      </c>
      <c r="E7" s="28" t="s">
        <v>4</v>
      </c>
      <c r="F7" s="23"/>
      <c r="G7" s="71" t="s">
        <v>46</v>
      </c>
      <c r="H7" s="27" t="s">
        <v>1</v>
      </c>
      <c r="I7" s="28" t="s">
        <v>2</v>
      </c>
      <c r="J7" s="28" t="s">
        <v>3</v>
      </c>
      <c r="K7" s="28" t="s">
        <v>4</v>
      </c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>
      <c r="A8" s="7" t="s">
        <v>12</v>
      </c>
      <c r="B8" s="80">
        <v>134.0</v>
      </c>
      <c r="C8" s="162">
        <v>79.0</v>
      </c>
      <c r="D8" s="163">
        <f t="shared" ref="D8:D10" si="6">C8/B8</f>
        <v>0.5895522388</v>
      </c>
      <c r="E8" s="164">
        <f>B8-C8</f>
        <v>55</v>
      </c>
      <c r="F8" s="22"/>
      <c r="G8" s="7" t="s">
        <v>12</v>
      </c>
      <c r="H8" s="80">
        <v>100.0</v>
      </c>
      <c r="I8" s="130">
        <v>95.0</v>
      </c>
      <c r="J8" s="163">
        <f t="shared" ref="J8:J10" si="8">I8/H8</f>
        <v>0.95</v>
      </c>
      <c r="K8" s="164"/>
      <c r="L8" s="24"/>
      <c r="M8" s="17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2"/>
      <c r="AK8" s="22"/>
      <c r="AL8" s="165"/>
      <c r="AM8" s="22"/>
    </row>
    <row r="9">
      <c r="A9" s="7" t="s">
        <v>18</v>
      </c>
      <c r="B9" s="80">
        <v>4300.0</v>
      </c>
      <c r="C9" s="162">
        <f>C10/C8</f>
        <v>4978.843418</v>
      </c>
      <c r="D9" s="167">
        <f t="shared" si="6"/>
        <v>1.157870562</v>
      </c>
      <c r="E9" s="164"/>
      <c r="F9" s="22"/>
      <c r="G9" s="7" t="s">
        <v>18</v>
      </c>
      <c r="H9" s="80">
        <f t="shared" ref="H9:I9" si="7">H10/H8</f>
        <v>1000</v>
      </c>
      <c r="I9" s="47">
        <f t="shared" si="7"/>
        <v>568.9662105</v>
      </c>
      <c r="J9" s="167">
        <f t="shared" si="8"/>
        <v>0.5689662105</v>
      </c>
      <c r="K9" s="164"/>
      <c r="L9" s="24"/>
      <c r="M9" s="173"/>
      <c r="N9" s="24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169"/>
      <c r="AK9" s="22"/>
      <c r="AL9" s="37"/>
      <c r="AM9" s="37"/>
    </row>
    <row r="10">
      <c r="A10" s="7" t="s">
        <v>14</v>
      </c>
      <c r="B10" s="9">
        <v>576200.0</v>
      </c>
      <c r="C10" s="166">
        <v>393328.63</v>
      </c>
      <c r="D10" s="163">
        <f t="shared" si="6"/>
        <v>0.6826251822</v>
      </c>
      <c r="E10" s="80">
        <f>B10-C10</f>
        <v>182871.37</v>
      </c>
      <c r="F10" s="22"/>
      <c r="G10" s="7" t="s">
        <v>14</v>
      </c>
      <c r="H10" s="80">
        <v>100000.0</v>
      </c>
      <c r="I10" s="179">
        <v>54051.79</v>
      </c>
      <c r="J10" s="170">
        <f t="shared" si="8"/>
        <v>0.5405179</v>
      </c>
      <c r="K10" s="164"/>
      <c r="L10" s="164"/>
      <c r="M10" s="17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>
      <c r="A11" s="85"/>
      <c r="B11" s="23"/>
      <c r="C11" s="23"/>
      <c r="D11" s="172"/>
      <c r="E11" s="24"/>
      <c r="F11" s="23"/>
      <c r="G11" s="85"/>
      <c r="H11" s="23"/>
      <c r="I11" s="23"/>
      <c r="J11" s="23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>
      <c r="A12" s="71" t="s">
        <v>48</v>
      </c>
      <c r="B12" s="27" t="s">
        <v>1</v>
      </c>
      <c r="C12" s="28" t="s">
        <v>2</v>
      </c>
      <c r="D12" s="178" t="s">
        <v>3</v>
      </c>
      <c r="E12" s="28" t="s">
        <v>4</v>
      </c>
      <c r="F12" s="23"/>
      <c r="G12" s="71" t="s">
        <v>48</v>
      </c>
      <c r="H12" s="27" t="s">
        <v>1</v>
      </c>
      <c r="I12" s="28" t="s">
        <v>2</v>
      </c>
      <c r="J12" s="28" t="s">
        <v>3</v>
      </c>
      <c r="K12" s="28" t="s">
        <v>4</v>
      </c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>
      <c r="A13" s="7" t="s">
        <v>12</v>
      </c>
      <c r="B13" s="9">
        <v>9.0</v>
      </c>
      <c r="C13" s="166">
        <v>42.0</v>
      </c>
      <c r="D13" s="163">
        <f t="shared" ref="D13:D15" si="9">C13/B13</f>
        <v>4.666666667</v>
      </c>
      <c r="E13" s="180">
        <f>B13-C13</f>
        <v>-33</v>
      </c>
      <c r="F13" s="22"/>
      <c r="G13" s="7" t="s">
        <v>12</v>
      </c>
      <c r="H13" s="130">
        <v>0.0</v>
      </c>
      <c r="I13" s="130">
        <v>2.0</v>
      </c>
      <c r="J13" s="164" t="str">
        <f>I13/H13</f>
        <v>#DIV/0!</v>
      </c>
      <c r="K13" s="180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2"/>
      <c r="AK13" s="22"/>
      <c r="AL13" s="165"/>
      <c r="AM13" s="22"/>
    </row>
    <row r="14">
      <c r="A14" s="7" t="s">
        <v>13</v>
      </c>
      <c r="B14" s="181">
        <v>3300.0</v>
      </c>
      <c r="C14" s="22">
        <f>C15/C13</f>
        <v>2337.915238</v>
      </c>
      <c r="D14" s="167">
        <f t="shared" si="9"/>
        <v>0.7084591631</v>
      </c>
      <c r="E14" s="164"/>
      <c r="F14" s="22"/>
      <c r="G14" s="7" t="s">
        <v>13</v>
      </c>
      <c r="H14" s="130">
        <v>0.0</v>
      </c>
      <c r="I14" s="22"/>
      <c r="J14" s="24"/>
      <c r="K14" s="164"/>
      <c r="L14" s="24"/>
      <c r="M14" s="24"/>
      <c r="N14" s="2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169"/>
      <c r="AK14" s="22"/>
      <c r="AL14" s="37"/>
      <c r="AM14" s="37"/>
    </row>
    <row r="15">
      <c r="A15" s="7" t="s">
        <v>14</v>
      </c>
      <c r="B15" s="9">
        <v>29700.0</v>
      </c>
      <c r="C15" s="130">
        <v>98192.44</v>
      </c>
      <c r="D15" s="163">
        <f t="shared" si="9"/>
        <v>3.306142761</v>
      </c>
      <c r="E15" s="182">
        <f>B15-C15</f>
        <v>-68492.44</v>
      </c>
      <c r="F15" s="22"/>
      <c r="G15" s="7" t="s">
        <v>14</v>
      </c>
      <c r="H15" s="130">
        <v>0.0</v>
      </c>
      <c r="I15" s="22"/>
      <c r="J15" s="170" t="str">
        <f>I15/H15</f>
        <v>#DIV/0!</v>
      </c>
      <c r="K15" s="182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>
      <c r="A16" s="87"/>
      <c r="B16" s="22"/>
      <c r="C16" s="22"/>
      <c r="D16" s="172"/>
      <c r="E16" s="22"/>
      <c r="F16" s="22"/>
      <c r="G16" s="87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4"/>
      <c r="AH16" s="24"/>
      <c r="AI16" s="24"/>
      <c r="AJ16" s="24"/>
      <c r="AK16" s="24"/>
      <c r="AL16" s="24"/>
      <c r="AM16" s="24"/>
    </row>
    <row r="17">
      <c r="A17" s="183"/>
      <c r="B17" s="183"/>
      <c r="C17" s="183"/>
      <c r="D17" s="172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37"/>
      <c r="AH17" s="37"/>
      <c r="AI17" s="37"/>
      <c r="AJ17" s="37"/>
      <c r="AK17" s="37"/>
      <c r="AL17" s="37"/>
      <c r="AM17" s="37"/>
    </row>
    <row r="18">
      <c r="A18" s="23"/>
      <c r="B18" s="23"/>
      <c r="C18" s="23"/>
      <c r="D18" s="17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>
      <c r="A19" s="26" t="s">
        <v>50</v>
      </c>
      <c r="B19" s="27" t="s">
        <v>1</v>
      </c>
      <c r="C19" s="28" t="s">
        <v>2</v>
      </c>
      <c r="D19" s="178" t="s">
        <v>3</v>
      </c>
      <c r="E19" s="28" t="s">
        <v>4</v>
      </c>
      <c r="F19" s="23"/>
      <c r="G19" s="26" t="s">
        <v>50</v>
      </c>
      <c r="H19" s="27" t="s">
        <v>1</v>
      </c>
      <c r="I19" s="28" t="s">
        <v>2</v>
      </c>
      <c r="J19" s="28" t="s">
        <v>3</v>
      </c>
      <c r="K19" s="28" t="s">
        <v>4</v>
      </c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>
      <c r="A20" s="7" t="s">
        <v>12</v>
      </c>
      <c r="B20" s="130">
        <v>60.0</v>
      </c>
      <c r="C20" s="130">
        <v>74.0</v>
      </c>
      <c r="D20" s="163">
        <f>C20/B20</f>
        <v>1.233333333</v>
      </c>
      <c r="E20" s="164">
        <f>B20-C20</f>
        <v>-14</v>
      </c>
      <c r="F20" s="22"/>
      <c r="G20" s="7" t="s">
        <v>12</v>
      </c>
      <c r="H20" s="130">
        <v>75.0</v>
      </c>
      <c r="I20" s="132">
        <v>75.0</v>
      </c>
      <c r="J20" s="163">
        <f t="shared" ref="J20:J22" si="11">I20/H20</f>
        <v>1</v>
      </c>
      <c r="K20" s="16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2"/>
      <c r="AK20" s="22"/>
      <c r="AL20" s="165"/>
      <c r="AM20" s="22"/>
    </row>
    <row r="21">
      <c r="A21" s="7" t="s">
        <v>13</v>
      </c>
      <c r="B21" s="168">
        <v>4200.0</v>
      </c>
      <c r="C21" s="166">
        <f t="shared" ref="C21:D21" si="10">C22/C20</f>
        <v>2742.42</v>
      </c>
      <c r="D21" s="167">
        <f t="shared" si="10"/>
        <v>0.6529571429</v>
      </c>
      <c r="E21" s="24"/>
      <c r="F21" s="22"/>
      <c r="G21" s="7" t="s">
        <v>13</v>
      </c>
      <c r="H21" s="168">
        <v>1280.0</v>
      </c>
      <c r="I21" s="22">
        <f>I22/I20</f>
        <v>1094.688933</v>
      </c>
      <c r="J21" s="167">
        <f t="shared" si="11"/>
        <v>0.8552257292</v>
      </c>
      <c r="K21" s="24"/>
      <c r="L21" s="24"/>
      <c r="M21" s="24"/>
      <c r="N21" s="24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169"/>
      <c r="AK21" s="22"/>
      <c r="AL21" s="37"/>
      <c r="AM21" s="37"/>
    </row>
    <row r="22">
      <c r="A22" s="7" t="s">
        <v>14</v>
      </c>
      <c r="B22" s="130">
        <v>252000.0</v>
      </c>
      <c r="C22" s="22">
        <v>202939.08</v>
      </c>
      <c r="D22" s="163">
        <f>C22/B22</f>
        <v>0.8053138095</v>
      </c>
      <c r="E22" s="130">
        <f>B22-C22</f>
        <v>49060.92</v>
      </c>
      <c r="F22" s="22"/>
      <c r="G22" s="7" t="s">
        <v>14</v>
      </c>
      <c r="H22" s="130">
        <v>96000.0</v>
      </c>
      <c r="I22" s="132">
        <v>82101.67</v>
      </c>
      <c r="J22" s="170">
        <f t="shared" si="11"/>
        <v>0.8552257292</v>
      </c>
      <c r="K22" s="16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8.86"/>
  </cols>
  <sheetData>
    <row r="1">
      <c r="A1" s="74" t="s">
        <v>60</v>
      </c>
      <c r="B1" s="2" t="s">
        <v>1</v>
      </c>
      <c r="C1" s="3" t="s">
        <v>2</v>
      </c>
      <c r="D1" s="3" t="s">
        <v>3</v>
      </c>
      <c r="E1" s="3" t="s">
        <v>4</v>
      </c>
      <c r="F1" s="75" t="s">
        <v>5</v>
      </c>
      <c r="G1" s="75" t="s">
        <v>61</v>
      </c>
      <c r="H1" s="3" t="s">
        <v>7</v>
      </c>
      <c r="I1" s="75" t="s">
        <v>62</v>
      </c>
      <c r="J1" s="75" t="s">
        <v>63</v>
      </c>
      <c r="K1" s="75" t="s">
        <v>10</v>
      </c>
      <c r="L1" s="3" t="s">
        <v>64</v>
      </c>
      <c r="M1" s="76"/>
      <c r="N1" s="76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0"/>
      <c r="AK1" s="20"/>
      <c r="AL1" s="20"/>
      <c r="AM1" s="20"/>
    </row>
    <row r="2">
      <c r="A2" s="7" t="s">
        <v>12</v>
      </c>
      <c r="B2" s="77">
        <v>166.0</v>
      </c>
      <c r="C2" s="9">
        <f>C7+C20+C33</f>
        <v>36</v>
      </c>
      <c r="D2" s="10">
        <f t="shared" ref="D2:D4" si="2">C2/B2</f>
        <v>0.2168674699</v>
      </c>
      <c r="E2" s="9">
        <f t="shared" ref="E2:E4" si="3">B2-C2</f>
        <v>130</v>
      </c>
      <c r="F2" s="9">
        <f>C2/AJ2*AK2</f>
        <v>159.4285714</v>
      </c>
      <c r="G2" s="45">
        <f t="shared" ref="G2:G4" si="4">F2/B2</f>
        <v>0.9604130809</v>
      </c>
      <c r="H2" s="9">
        <f>F2-B2</f>
        <v>-6.571428571</v>
      </c>
      <c r="I2" s="9">
        <f>E2/(AK2-AJ2)</f>
        <v>5.416666667</v>
      </c>
      <c r="J2" s="9">
        <f>B2/AK2</f>
        <v>5.35483871</v>
      </c>
      <c r="K2" s="9">
        <f>C2/AJ2</f>
        <v>5.142857143</v>
      </c>
      <c r="L2" s="7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14">
        <f>AK3</f>
        <v>7</v>
      </c>
      <c r="AK2" s="14" t="str">
        <f>AM2</f>
        <v>31</v>
      </c>
      <c r="AL2" s="15">
        <f>DATE(YEAR(TODAY()),MONTH(TODAY())+1,1)-1</f>
        <v>44561</v>
      </c>
      <c r="AM2" s="14" t="str">
        <f>LEFT(AL2, 2)</f>
        <v>31</v>
      </c>
    </row>
    <row r="3">
      <c r="A3" s="7" t="s">
        <v>13</v>
      </c>
      <c r="B3" s="9">
        <f t="shared" ref="B3:C3" si="1">B4/B2</f>
        <v>1101.524096</v>
      </c>
      <c r="C3" s="9">
        <f t="shared" si="1"/>
        <v>894.7062333</v>
      </c>
      <c r="D3" s="10">
        <f t="shared" si="2"/>
        <v>0.8122439048</v>
      </c>
      <c r="E3" s="9">
        <f t="shared" si="3"/>
        <v>206.8178631</v>
      </c>
      <c r="F3" s="9">
        <f>F4/F2</f>
        <v>894.7062333</v>
      </c>
      <c r="G3" s="45">
        <f t="shared" si="4"/>
        <v>0.8122439048</v>
      </c>
      <c r="H3" s="9"/>
      <c r="I3" s="9"/>
      <c r="J3" s="9"/>
      <c r="L3" s="78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17">
        <f>TODAY()</f>
        <v>44538</v>
      </c>
      <c r="AK3" s="14">
        <f>LEFT(AJ3, 2)-1</f>
        <v>7</v>
      </c>
      <c r="AL3" s="18"/>
      <c r="AM3" s="18"/>
    </row>
    <row r="4">
      <c r="A4" s="7" t="s">
        <v>65</v>
      </c>
      <c r="B4" s="77">
        <f>B9+B22+B35</f>
        <v>182853</v>
      </c>
      <c r="C4" s="19">
        <f>C9+C35</f>
        <v>32209.4244</v>
      </c>
      <c r="D4" s="10">
        <f t="shared" si="2"/>
        <v>0.1761492806</v>
      </c>
      <c r="E4" s="9">
        <f t="shared" si="3"/>
        <v>150643.5756</v>
      </c>
      <c r="F4" s="9">
        <f>C4/AJ2*AK2</f>
        <v>142641.7366</v>
      </c>
      <c r="G4" s="45">
        <f t="shared" si="4"/>
        <v>0.7800896711</v>
      </c>
      <c r="H4" s="9">
        <f>F4-B4</f>
        <v>-40211.26337</v>
      </c>
      <c r="I4" s="9">
        <f>E4/(AK2-AJ2)</f>
        <v>6276.81565</v>
      </c>
      <c r="J4" s="9">
        <f>B4/AK2</f>
        <v>5898.483871</v>
      </c>
      <c r="K4" s="9">
        <f>C4/AJ2</f>
        <v>4601.346343</v>
      </c>
      <c r="L4" s="78">
        <f>I4/1.2/1.004</f>
        <v>5209.840347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20"/>
      <c r="AK4" s="20"/>
      <c r="AL4" s="20"/>
      <c r="AM4" s="20"/>
    </row>
    <row r="5">
      <c r="A5" s="25" t="s">
        <v>66</v>
      </c>
      <c r="B5" s="22"/>
      <c r="C5" s="23"/>
      <c r="D5" s="23"/>
      <c r="E5" s="23"/>
      <c r="F5" s="23"/>
      <c r="G5" s="23"/>
      <c r="H5" s="23"/>
      <c r="I5" s="23"/>
      <c r="J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0"/>
      <c r="AK5" s="20"/>
      <c r="AL5" s="20"/>
      <c r="AM5" s="20"/>
    </row>
    <row r="6">
      <c r="A6" s="26" t="s">
        <v>67</v>
      </c>
      <c r="B6" s="27" t="s">
        <v>1</v>
      </c>
      <c r="C6" s="28" t="s">
        <v>2</v>
      </c>
      <c r="D6" s="28" t="s">
        <v>3</v>
      </c>
      <c r="E6" s="28" t="s">
        <v>4</v>
      </c>
      <c r="F6" s="29" t="s">
        <v>5</v>
      </c>
      <c r="G6" s="29" t="s">
        <v>6</v>
      </c>
      <c r="H6" s="28" t="s">
        <v>7</v>
      </c>
      <c r="I6" s="28" t="s">
        <v>62</v>
      </c>
      <c r="J6" s="29" t="s">
        <v>9</v>
      </c>
      <c r="K6" s="29" t="s">
        <v>10</v>
      </c>
      <c r="L6" s="28" t="s">
        <v>11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20"/>
      <c r="AK6" s="20"/>
      <c r="AL6" s="20"/>
      <c r="AM6" s="20"/>
    </row>
    <row r="7">
      <c r="A7" s="7" t="s">
        <v>12</v>
      </c>
      <c r="B7" s="50">
        <v>80.0</v>
      </c>
      <c r="C7" s="80">
        <f>SUM(B16:AF16)</f>
        <v>17</v>
      </c>
      <c r="D7" s="10">
        <f>C7/B2</f>
        <v>0.1024096386</v>
      </c>
      <c r="E7" s="19">
        <f>B7-C7</f>
        <v>63</v>
      </c>
      <c r="F7" s="9">
        <f>C7/AJ2*AK2</f>
        <v>75.28571429</v>
      </c>
      <c r="G7" s="81">
        <f t="shared" ref="G7:G9" si="6">F7/B7</f>
        <v>0.9410714286</v>
      </c>
      <c r="H7" s="9">
        <f>F7-B7</f>
        <v>-4.714285714</v>
      </c>
      <c r="I7" s="12">
        <f>E7/(AK7-AJ7)</f>
        <v>2.625</v>
      </c>
      <c r="J7" s="12">
        <f>B2/AK7</f>
        <v>5.35483871</v>
      </c>
      <c r="K7" s="9">
        <f>C7/AJ2</f>
        <v>2.428571429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14">
        <f>AK8</f>
        <v>7</v>
      </c>
      <c r="AK7" s="14" t="str">
        <f>AM7</f>
        <v>31</v>
      </c>
      <c r="AL7" s="15">
        <f>DATE(YEAR(TODAY()),MONTH(TODAY())+1,1)-1</f>
        <v>44561</v>
      </c>
      <c r="AM7" s="14" t="str">
        <f>LEFT(AL7, 2)</f>
        <v>31</v>
      </c>
    </row>
    <row r="8">
      <c r="A8" s="7" t="s">
        <v>13</v>
      </c>
      <c r="B8" s="82">
        <f t="shared" ref="B8:C8" si="5">B9/B7</f>
        <v>834.75</v>
      </c>
      <c r="C8" s="80">
        <f t="shared" si="5"/>
        <v>891.7049624</v>
      </c>
      <c r="D8" s="10">
        <f>C8/B8</f>
        <v>1.068229964</v>
      </c>
      <c r="E8" s="78"/>
      <c r="F8" s="9">
        <f>F9/F7</f>
        <v>891.7049624</v>
      </c>
      <c r="G8" s="81">
        <f t="shared" si="6"/>
        <v>1.068229964</v>
      </c>
      <c r="H8" s="16"/>
      <c r="I8" s="12"/>
      <c r="J8" s="12"/>
      <c r="K8" s="83"/>
      <c r="L8" s="79"/>
      <c r="M8" s="79"/>
      <c r="N8" s="79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17">
        <f>TODAY()</f>
        <v>44538</v>
      </c>
      <c r="AK8" s="14">
        <f>LEFT(AJ8, 2)-1</f>
        <v>7</v>
      </c>
      <c r="AL8" s="18"/>
      <c r="AM8" s="18"/>
    </row>
    <row r="9">
      <c r="A9" s="7" t="s">
        <v>14</v>
      </c>
      <c r="B9" s="50">
        <v>66780.0</v>
      </c>
      <c r="C9" s="80">
        <f>SUM(B15:AF15)</f>
        <v>15158.98436</v>
      </c>
      <c r="D9" s="10">
        <f>C9/B4</f>
        <v>0.08290257398</v>
      </c>
      <c r="E9" s="9">
        <f>B9-C9</f>
        <v>51621.01564</v>
      </c>
      <c r="F9" s="9">
        <f>C9/AJ7*AK7</f>
        <v>67132.64502</v>
      </c>
      <c r="G9" s="81">
        <f t="shared" si="6"/>
        <v>1.005280698</v>
      </c>
      <c r="H9" s="9">
        <f>F9-B9</f>
        <v>352.6450229</v>
      </c>
      <c r="I9" s="12">
        <f>E9/(AK7-AJ7)</f>
        <v>2150.875652</v>
      </c>
      <c r="J9" s="12">
        <f>B4/AK7</f>
        <v>5898.483871</v>
      </c>
      <c r="K9" s="12">
        <f>C9/AJ2</f>
        <v>2165.569194</v>
      </c>
      <c r="L9" s="84">
        <f>(I9+I22)/1.2/1.004</f>
        <v>1983.102854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20"/>
      <c r="AK9" s="20"/>
      <c r="AL9" s="20"/>
      <c r="AM9" s="20"/>
    </row>
    <row r="10">
      <c r="A10" s="51"/>
      <c r="B10" s="78"/>
      <c r="C10" s="79"/>
      <c r="D10" s="79"/>
      <c r="E10" s="51"/>
      <c r="F10" s="51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20"/>
      <c r="AK10" s="20"/>
      <c r="AL10" s="20"/>
      <c r="AM10" s="20"/>
    </row>
    <row r="11">
      <c r="A11" s="51"/>
      <c r="B11" s="78"/>
      <c r="C11" s="79"/>
      <c r="D11" s="85"/>
      <c r="E11" s="79"/>
      <c r="F11" s="85"/>
      <c r="G11" s="85"/>
      <c r="H11" s="85"/>
      <c r="I11" s="85"/>
      <c r="J11" s="85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20"/>
      <c r="AK11" s="20"/>
      <c r="AL11" s="20"/>
      <c r="AM11" s="20"/>
    </row>
    <row r="12">
      <c r="A12" s="51"/>
      <c r="B12" s="78"/>
      <c r="C12" s="79"/>
      <c r="D12" s="85"/>
      <c r="E12" s="79"/>
      <c r="F12" s="85"/>
      <c r="G12" s="85"/>
      <c r="H12" s="85"/>
      <c r="I12" s="85"/>
      <c r="J12" s="85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79"/>
      <c r="AD12" s="79"/>
      <c r="AE12" s="79"/>
      <c r="AF12" s="79"/>
      <c r="AG12" s="79"/>
      <c r="AH12" s="79"/>
      <c r="AI12" s="79"/>
      <c r="AJ12" s="20"/>
      <c r="AK12" s="20"/>
      <c r="AL12" s="20"/>
      <c r="AM12" s="20"/>
    </row>
    <row r="13">
      <c r="A13" s="33" t="s">
        <v>68</v>
      </c>
      <c r="B13" s="34" t="s">
        <v>20</v>
      </c>
      <c r="C13" s="34" t="s">
        <v>21</v>
      </c>
      <c r="D13" s="34" t="s">
        <v>22</v>
      </c>
      <c r="E13" s="34" t="s">
        <v>23</v>
      </c>
      <c r="F13" s="34" t="s">
        <v>24</v>
      </c>
      <c r="G13" s="34" t="s">
        <v>25</v>
      </c>
      <c r="H13" s="34" t="s">
        <v>26</v>
      </c>
      <c r="I13" s="34" t="s">
        <v>20</v>
      </c>
      <c r="J13" s="34" t="s">
        <v>21</v>
      </c>
      <c r="K13" s="34" t="s">
        <v>22</v>
      </c>
      <c r="L13" s="34" t="s">
        <v>23</v>
      </c>
      <c r="M13" s="34" t="s">
        <v>24</v>
      </c>
      <c r="N13" s="34" t="s">
        <v>25</v>
      </c>
      <c r="O13" s="34" t="s">
        <v>26</v>
      </c>
      <c r="P13" s="34" t="s">
        <v>20</v>
      </c>
      <c r="Q13" s="34" t="s">
        <v>21</v>
      </c>
      <c r="R13" s="34" t="s">
        <v>22</v>
      </c>
      <c r="S13" s="34" t="s">
        <v>23</v>
      </c>
      <c r="T13" s="34" t="s">
        <v>24</v>
      </c>
      <c r="U13" s="34" t="s">
        <v>25</v>
      </c>
      <c r="V13" s="34" t="s">
        <v>26</v>
      </c>
      <c r="W13" s="34" t="s">
        <v>20</v>
      </c>
      <c r="X13" s="34" t="s">
        <v>21</v>
      </c>
      <c r="Y13" s="34" t="s">
        <v>22</v>
      </c>
      <c r="Z13" s="34" t="s">
        <v>23</v>
      </c>
      <c r="AA13" s="34" t="s">
        <v>24</v>
      </c>
      <c r="AB13" s="34" t="s">
        <v>25</v>
      </c>
      <c r="AC13" s="34" t="s">
        <v>26</v>
      </c>
      <c r="AD13" s="34" t="s">
        <v>20</v>
      </c>
      <c r="AE13" s="34" t="s">
        <v>21</v>
      </c>
      <c r="AF13" s="34" t="s">
        <v>22</v>
      </c>
      <c r="AG13" s="30"/>
      <c r="AH13" s="30"/>
      <c r="AI13" s="30"/>
      <c r="AJ13" s="20"/>
      <c r="AK13" s="20"/>
      <c r="AL13" s="20"/>
      <c r="AM13" s="20"/>
    </row>
    <row r="14">
      <c r="A14" s="72" t="s">
        <v>69</v>
      </c>
      <c r="B14" s="48">
        <v>44531.0</v>
      </c>
      <c r="C14" s="48">
        <v>44532.0</v>
      </c>
      <c r="D14" s="48">
        <v>44533.0</v>
      </c>
      <c r="E14" s="48">
        <v>44534.0</v>
      </c>
      <c r="F14" s="48">
        <v>44535.0</v>
      </c>
      <c r="G14" s="48">
        <v>44536.0</v>
      </c>
      <c r="H14" s="48">
        <v>44537.0</v>
      </c>
      <c r="I14" s="48">
        <v>44538.0</v>
      </c>
      <c r="J14" s="48">
        <v>44539.0</v>
      </c>
      <c r="K14" s="48">
        <v>44540.0</v>
      </c>
      <c r="L14" s="48">
        <v>44541.0</v>
      </c>
      <c r="M14" s="48">
        <v>44542.0</v>
      </c>
      <c r="N14" s="48">
        <v>44543.0</v>
      </c>
      <c r="O14" s="48">
        <v>44544.0</v>
      </c>
      <c r="P14" s="48">
        <v>44545.0</v>
      </c>
      <c r="Q14" s="48">
        <v>44546.0</v>
      </c>
      <c r="R14" s="48">
        <v>44547.0</v>
      </c>
      <c r="S14" s="48">
        <v>44548.0</v>
      </c>
      <c r="T14" s="48">
        <v>44549.0</v>
      </c>
      <c r="U14" s="48">
        <v>44550.0</v>
      </c>
      <c r="V14" s="48">
        <v>44551.0</v>
      </c>
      <c r="W14" s="48">
        <v>44552.0</v>
      </c>
      <c r="X14" s="48">
        <v>44553.0</v>
      </c>
      <c r="Y14" s="48">
        <v>44554.0</v>
      </c>
      <c r="Z14" s="48">
        <v>44555.0</v>
      </c>
      <c r="AA14" s="48">
        <v>44556.0</v>
      </c>
      <c r="AB14" s="48">
        <v>44557.0</v>
      </c>
      <c r="AC14" s="48">
        <v>44558.0</v>
      </c>
      <c r="AD14" s="48">
        <v>44559.0</v>
      </c>
      <c r="AE14" s="48">
        <v>44560.0</v>
      </c>
      <c r="AF14" s="48">
        <v>44561.0</v>
      </c>
      <c r="AG14" s="86"/>
      <c r="AH14" s="86"/>
      <c r="AI14" s="86"/>
      <c r="AJ14" s="18"/>
      <c r="AK14" s="18"/>
      <c r="AL14" s="18"/>
      <c r="AM14" s="18"/>
    </row>
    <row r="15">
      <c r="A15" s="49" t="s">
        <v>28</v>
      </c>
      <c r="B15" s="38">
        <f>1.004*1080.17
</f>
        <v>1084.49068</v>
      </c>
      <c r="C15" s="38">
        <f>1.004*1533.26
</f>
        <v>1539.39304</v>
      </c>
      <c r="D15" s="38">
        <f>1.004*3483.23
</f>
        <v>3497.16292</v>
      </c>
      <c r="E15" s="38">
        <f>1.004*1736.9</f>
        <v>1743.8476</v>
      </c>
      <c r="F15" s="38">
        <f>1.004*2103.1
</f>
        <v>2111.5124</v>
      </c>
      <c r="G15" s="38">
        <f>1.004*2349.49
</f>
        <v>2358.88796</v>
      </c>
      <c r="H15" s="38">
        <f>1.004*2812.44
</f>
        <v>2823.68976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87"/>
      <c r="AH15" s="87"/>
      <c r="AI15" s="87"/>
      <c r="AJ15" s="87"/>
      <c r="AK15" s="87"/>
      <c r="AL15" s="87"/>
      <c r="AM15" s="87"/>
    </row>
    <row r="16">
      <c r="A16" s="49" t="s">
        <v>29</v>
      </c>
      <c r="B16" s="38">
        <v>1.0</v>
      </c>
      <c r="C16" s="38">
        <v>5.0</v>
      </c>
      <c r="D16" s="38">
        <v>3.0</v>
      </c>
      <c r="E16" s="38">
        <v>2.0</v>
      </c>
      <c r="F16" s="38">
        <v>2.0</v>
      </c>
      <c r="G16" s="38">
        <v>3.0</v>
      </c>
      <c r="H16" s="38">
        <v>1.0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51"/>
      <c r="AH16" s="51"/>
      <c r="AI16" s="51"/>
      <c r="AJ16" s="20"/>
      <c r="AK16" s="20"/>
      <c r="AL16" s="20"/>
      <c r="AM16" s="20"/>
    </row>
    <row r="17">
      <c r="A17" s="35" t="s">
        <v>30</v>
      </c>
      <c r="B17" s="39">
        <f t="shared" ref="B17:R17" si="7">B15/B16</f>
        <v>1084.49068</v>
      </c>
      <c r="C17" s="39">
        <f t="shared" si="7"/>
        <v>307.878608</v>
      </c>
      <c r="D17" s="39">
        <f t="shared" si="7"/>
        <v>1165.720973</v>
      </c>
      <c r="E17" s="39">
        <f t="shared" si="7"/>
        <v>871.9238</v>
      </c>
      <c r="F17" s="39">
        <f t="shared" si="7"/>
        <v>1055.7562</v>
      </c>
      <c r="G17" s="39">
        <f t="shared" si="7"/>
        <v>786.2959867</v>
      </c>
      <c r="H17" s="39">
        <f t="shared" si="7"/>
        <v>2823.68976</v>
      </c>
      <c r="I17" s="39" t="str">
        <f t="shared" si="7"/>
        <v>#DIV/0!</v>
      </c>
      <c r="J17" s="39" t="str">
        <f t="shared" si="7"/>
        <v>#DIV/0!</v>
      </c>
      <c r="K17" s="39" t="str">
        <f t="shared" si="7"/>
        <v>#DIV/0!</v>
      </c>
      <c r="L17" s="39" t="str">
        <f t="shared" si="7"/>
        <v>#DIV/0!</v>
      </c>
      <c r="M17" s="39" t="str">
        <f t="shared" si="7"/>
        <v>#DIV/0!</v>
      </c>
      <c r="N17" s="39" t="str">
        <f t="shared" si="7"/>
        <v>#DIV/0!</v>
      </c>
      <c r="O17" s="39" t="str">
        <f t="shared" si="7"/>
        <v>#DIV/0!</v>
      </c>
      <c r="P17" s="39" t="str">
        <f t="shared" si="7"/>
        <v>#DIV/0!</v>
      </c>
      <c r="Q17" s="39" t="str">
        <f t="shared" si="7"/>
        <v>#DIV/0!</v>
      </c>
      <c r="R17" s="39" t="str">
        <f t="shared" si="7"/>
        <v>#DIV/0!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87"/>
      <c r="AH17" s="87"/>
      <c r="AI17" s="87"/>
      <c r="AJ17" s="87"/>
      <c r="AK17" s="87"/>
      <c r="AL17" s="87"/>
      <c r="AM17" s="87"/>
    </row>
    <row r="18">
      <c r="A18" s="24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87"/>
      <c r="N18" s="87"/>
      <c r="O18" s="78"/>
      <c r="P18" s="78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40"/>
      <c r="AK18" s="40"/>
      <c r="AL18" s="40"/>
      <c r="AM18" s="40"/>
    </row>
    <row r="19">
      <c r="A19" s="26" t="s">
        <v>70</v>
      </c>
      <c r="B19" s="27" t="s">
        <v>1</v>
      </c>
      <c r="C19" s="27" t="s">
        <v>2</v>
      </c>
      <c r="D19" s="27" t="s">
        <v>3</v>
      </c>
      <c r="E19" s="27" t="s">
        <v>4</v>
      </c>
      <c r="F19" s="88" t="s">
        <v>5</v>
      </c>
      <c r="G19" s="88" t="s">
        <v>71</v>
      </c>
      <c r="H19" s="27" t="s">
        <v>7</v>
      </c>
      <c r="I19" s="28" t="s">
        <v>62</v>
      </c>
      <c r="J19" s="29" t="s">
        <v>63</v>
      </c>
      <c r="K19" s="29" t="s">
        <v>10</v>
      </c>
      <c r="L19" s="28" t="s">
        <v>11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20"/>
      <c r="AK19" s="20"/>
      <c r="AL19" s="20"/>
      <c r="AM19" s="20"/>
    </row>
    <row r="20">
      <c r="A20" s="7" t="s">
        <v>12</v>
      </c>
      <c r="B20" s="8">
        <v>5.0</v>
      </c>
      <c r="C20" s="9">
        <f>SUM(B29:AF29)</f>
        <v>0</v>
      </c>
      <c r="D20" s="89">
        <f t="shared" ref="D20:D22" si="9">C20/B20</f>
        <v>0</v>
      </c>
      <c r="E20" s="19">
        <f>B20-C20</f>
        <v>5</v>
      </c>
      <c r="F20" s="9">
        <f>C20/AJ7*AK7</f>
        <v>0</v>
      </c>
      <c r="G20" s="73">
        <f>F20/B20</f>
        <v>0</v>
      </c>
      <c r="H20" s="19">
        <f>F20-B20</f>
        <v>-5</v>
      </c>
      <c r="I20" s="78">
        <f>B20/30</f>
        <v>0.1666666667</v>
      </c>
      <c r="J20" s="82">
        <f>E20/(AK20-AJ20)</f>
        <v>0.2083333333</v>
      </c>
      <c r="K20" s="78">
        <f>C20/AJ2</f>
        <v>0</v>
      </c>
      <c r="L20" s="78"/>
      <c r="M20" s="87"/>
      <c r="N20" s="87"/>
      <c r="O20" s="78"/>
      <c r="P20" s="78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4">
        <f>AK21</f>
        <v>7</v>
      </c>
      <c r="AK20" s="14" t="str">
        <f>AM20</f>
        <v>31</v>
      </c>
      <c r="AL20" s="15">
        <f>DATE(YEAR(TODAY()),MONTH(TODAY())+1,1)-1</f>
        <v>44561</v>
      </c>
      <c r="AM20" s="14" t="str">
        <f>LEFT(AL20, 2)</f>
        <v>31</v>
      </c>
    </row>
    <row r="21">
      <c r="A21" s="7" t="s">
        <v>13</v>
      </c>
      <c r="B21" s="9">
        <f t="shared" ref="B21:C21" si="8">B22/B20</f>
        <v>1430.2</v>
      </c>
      <c r="C21" s="9" t="str">
        <f t="shared" si="8"/>
        <v>#DIV/0!</v>
      </c>
      <c r="D21" s="89" t="str">
        <f t="shared" si="9"/>
        <v>#DIV/0!</v>
      </c>
      <c r="E21" s="78"/>
      <c r="F21" s="9" t="str">
        <f>F22/F20</f>
        <v>#DIV/0!</v>
      </c>
      <c r="G21" s="9"/>
      <c r="H21" s="78"/>
      <c r="I21" s="78"/>
      <c r="J21" s="90"/>
      <c r="K21" s="78"/>
      <c r="L21" s="78"/>
      <c r="M21" s="78"/>
      <c r="N21" s="78"/>
      <c r="O21" s="9"/>
      <c r="P21" s="9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17">
        <f>TODAY()</f>
        <v>44538</v>
      </c>
      <c r="AK21" s="14">
        <f>LEFT(AJ21, 2)-1</f>
        <v>7</v>
      </c>
      <c r="AL21" s="18"/>
      <c r="AM21" s="18"/>
    </row>
    <row r="22">
      <c r="A22" s="7" t="s">
        <v>14</v>
      </c>
      <c r="B22" s="8">
        <v>7151.0</v>
      </c>
      <c r="C22" s="9">
        <f>SUM(B28:AF28)</f>
        <v>0</v>
      </c>
      <c r="D22" s="89">
        <f t="shared" si="9"/>
        <v>0</v>
      </c>
      <c r="E22" s="78">
        <f>B22-C22</f>
        <v>7151</v>
      </c>
      <c r="F22" s="9">
        <f>C22/AJ7*AK7</f>
        <v>0</v>
      </c>
      <c r="G22" s="9">
        <f>F22/B22</f>
        <v>0</v>
      </c>
      <c r="H22" s="78">
        <f>F22-B22</f>
        <v>-7151</v>
      </c>
      <c r="I22" s="91">
        <f>B22/30</f>
        <v>238.3666667</v>
      </c>
      <c r="J22" s="91">
        <f>E22/(AK20-AJ20)</f>
        <v>297.9583333</v>
      </c>
      <c r="K22" s="78">
        <f>C22/AJ2</f>
        <v>0</v>
      </c>
      <c r="L22" s="78"/>
      <c r="M22" s="78"/>
      <c r="N22" s="78"/>
      <c r="O22" s="78"/>
      <c r="P22" s="78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20"/>
      <c r="AK22" s="20"/>
      <c r="AL22" s="20"/>
      <c r="AM22" s="20"/>
    </row>
    <row r="23">
      <c r="A23" s="51"/>
      <c r="B23" s="78"/>
      <c r="C23" s="78"/>
      <c r="D23" s="78"/>
      <c r="E23" s="78"/>
      <c r="F23" s="8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20"/>
      <c r="AK23" s="20"/>
      <c r="AL23" s="20"/>
      <c r="AM23" s="20"/>
    </row>
    <row r="24">
      <c r="A24" s="51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0"/>
      <c r="AK24" s="20"/>
      <c r="AL24" s="20"/>
      <c r="AM24" s="20"/>
    </row>
    <row r="25">
      <c r="A25" s="5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79"/>
      <c r="AD25" s="79"/>
      <c r="AE25" s="79"/>
      <c r="AF25" s="79"/>
      <c r="AG25" s="79"/>
      <c r="AH25" s="79"/>
      <c r="AI25" s="79"/>
      <c r="AJ25" s="20"/>
      <c r="AK25" s="20"/>
      <c r="AL25" s="20"/>
      <c r="AM25" s="20"/>
    </row>
    <row r="26">
      <c r="A26" s="33" t="s">
        <v>72</v>
      </c>
      <c r="B26" s="34" t="s">
        <v>20</v>
      </c>
      <c r="C26" s="34" t="s">
        <v>21</v>
      </c>
      <c r="D26" s="34" t="s">
        <v>22</v>
      </c>
      <c r="E26" s="34" t="s">
        <v>23</v>
      </c>
      <c r="F26" s="34" t="s">
        <v>24</v>
      </c>
      <c r="G26" s="34" t="s">
        <v>25</v>
      </c>
      <c r="H26" s="34" t="s">
        <v>26</v>
      </c>
      <c r="I26" s="34" t="s">
        <v>20</v>
      </c>
      <c r="J26" s="34" t="s">
        <v>21</v>
      </c>
      <c r="K26" s="34" t="s">
        <v>22</v>
      </c>
      <c r="L26" s="34" t="s">
        <v>23</v>
      </c>
      <c r="M26" s="34" t="s">
        <v>24</v>
      </c>
      <c r="N26" s="34" t="s">
        <v>25</v>
      </c>
      <c r="O26" s="34" t="s">
        <v>26</v>
      </c>
      <c r="P26" s="34" t="s">
        <v>20</v>
      </c>
      <c r="Q26" s="34" t="s">
        <v>21</v>
      </c>
      <c r="R26" s="34" t="s">
        <v>22</v>
      </c>
      <c r="S26" s="34" t="s">
        <v>23</v>
      </c>
      <c r="T26" s="34" t="s">
        <v>24</v>
      </c>
      <c r="U26" s="34" t="s">
        <v>25</v>
      </c>
      <c r="V26" s="34" t="s">
        <v>26</v>
      </c>
      <c r="W26" s="34" t="s">
        <v>20</v>
      </c>
      <c r="X26" s="34" t="s">
        <v>21</v>
      </c>
      <c r="Y26" s="34" t="s">
        <v>22</v>
      </c>
      <c r="Z26" s="34" t="s">
        <v>23</v>
      </c>
      <c r="AA26" s="34" t="s">
        <v>24</v>
      </c>
      <c r="AB26" s="34" t="s">
        <v>25</v>
      </c>
      <c r="AC26" s="34" t="s">
        <v>26</v>
      </c>
      <c r="AD26" s="34" t="s">
        <v>20</v>
      </c>
      <c r="AE26" s="34" t="s">
        <v>21</v>
      </c>
      <c r="AF26" s="34" t="s">
        <v>22</v>
      </c>
      <c r="AG26" s="79"/>
      <c r="AH26" s="79"/>
      <c r="AI26" s="79"/>
      <c r="AJ26" s="20"/>
      <c r="AK26" s="20"/>
      <c r="AL26" s="20"/>
      <c r="AM26" s="20"/>
    </row>
    <row r="27">
      <c r="A27" s="72" t="s">
        <v>69</v>
      </c>
      <c r="B27" s="48">
        <v>44531.0</v>
      </c>
      <c r="C27" s="48">
        <v>44532.0</v>
      </c>
      <c r="D27" s="48">
        <v>44533.0</v>
      </c>
      <c r="E27" s="48">
        <v>44534.0</v>
      </c>
      <c r="F27" s="48">
        <v>44535.0</v>
      </c>
      <c r="G27" s="48">
        <v>44536.0</v>
      </c>
      <c r="H27" s="48">
        <v>44537.0</v>
      </c>
      <c r="I27" s="48">
        <v>44538.0</v>
      </c>
      <c r="J27" s="48">
        <v>44539.0</v>
      </c>
      <c r="K27" s="48">
        <v>44540.0</v>
      </c>
      <c r="L27" s="48">
        <v>44541.0</v>
      </c>
      <c r="M27" s="48">
        <v>44542.0</v>
      </c>
      <c r="N27" s="48">
        <v>44543.0</v>
      </c>
      <c r="O27" s="48">
        <v>44544.0</v>
      </c>
      <c r="P27" s="48">
        <v>44545.0</v>
      </c>
      <c r="Q27" s="48">
        <v>44546.0</v>
      </c>
      <c r="R27" s="48">
        <v>44547.0</v>
      </c>
      <c r="S27" s="48">
        <v>44548.0</v>
      </c>
      <c r="T27" s="48">
        <v>44549.0</v>
      </c>
      <c r="U27" s="48">
        <v>44550.0</v>
      </c>
      <c r="V27" s="48">
        <v>44551.0</v>
      </c>
      <c r="W27" s="48">
        <v>44552.0</v>
      </c>
      <c r="X27" s="48">
        <v>44553.0</v>
      </c>
      <c r="Y27" s="48">
        <v>44554.0</v>
      </c>
      <c r="Z27" s="48">
        <v>44555.0</v>
      </c>
      <c r="AA27" s="48">
        <v>44556.0</v>
      </c>
      <c r="AB27" s="48">
        <v>44557.0</v>
      </c>
      <c r="AC27" s="48">
        <v>44558.0</v>
      </c>
      <c r="AD27" s="48">
        <v>44559.0</v>
      </c>
      <c r="AE27" s="48">
        <v>44560.0</v>
      </c>
      <c r="AF27" s="48">
        <v>44561.0</v>
      </c>
      <c r="AG27" s="55"/>
      <c r="AH27" s="55"/>
      <c r="AI27" s="55"/>
      <c r="AJ27" s="18"/>
      <c r="AK27" s="18"/>
      <c r="AL27" s="18"/>
      <c r="AM27" s="18"/>
    </row>
    <row r="28">
      <c r="A28" s="49" t="s">
        <v>28</v>
      </c>
      <c r="B28" s="38">
        <v>0.0</v>
      </c>
      <c r="C28" s="38">
        <v>0.0</v>
      </c>
      <c r="D28" s="50">
        <v>0.0</v>
      </c>
      <c r="E28" s="38">
        <v>0.0</v>
      </c>
      <c r="F28" s="38">
        <v>0.0</v>
      </c>
      <c r="G28" s="38">
        <v>0.0</v>
      </c>
      <c r="H28" s="38">
        <v>0.0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85"/>
      <c r="AH28" s="85"/>
      <c r="AI28" s="85"/>
      <c r="AJ28" s="20"/>
      <c r="AK28" s="20"/>
      <c r="AL28" s="20"/>
      <c r="AM28" s="20"/>
    </row>
    <row r="29">
      <c r="A29" s="49" t="s">
        <v>29</v>
      </c>
      <c r="B29" s="38">
        <v>0.0</v>
      </c>
      <c r="C29" s="38">
        <v>0.0</v>
      </c>
      <c r="D29" s="38">
        <v>0.0</v>
      </c>
      <c r="E29" s="38">
        <v>0.0</v>
      </c>
      <c r="F29" s="38">
        <v>0.0</v>
      </c>
      <c r="G29" s="38">
        <v>0.0</v>
      </c>
      <c r="H29" s="38">
        <v>0.0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1"/>
      <c r="AH29" s="51"/>
      <c r="AI29" s="51"/>
      <c r="AJ29" s="20"/>
      <c r="AK29" s="20"/>
      <c r="AL29" s="20"/>
      <c r="AM29" s="20"/>
    </row>
    <row r="30">
      <c r="A30" s="35" t="s">
        <v>30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55"/>
      <c r="AH30" s="55"/>
      <c r="AI30" s="55"/>
      <c r="AJ30" s="40"/>
      <c r="AK30" s="40"/>
      <c r="AL30" s="40"/>
      <c r="AM30" s="40"/>
    </row>
    <row r="31">
      <c r="A31" s="24"/>
      <c r="B31" s="78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40"/>
      <c r="AK31" s="40"/>
      <c r="AL31" s="40"/>
      <c r="AM31" s="40"/>
    </row>
    <row r="32">
      <c r="A32" s="26" t="s">
        <v>73</v>
      </c>
      <c r="B32" s="27" t="s">
        <v>1</v>
      </c>
      <c r="C32" s="28" t="s">
        <v>2</v>
      </c>
      <c r="D32" s="28" t="s">
        <v>3</v>
      </c>
      <c r="E32" s="28" t="s">
        <v>4</v>
      </c>
      <c r="F32" s="92" t="s">
        <v>5</v>
      </c>
      <c r="G32" s="92" t="s">
        <v>6</v>
      </c>
      <c r="H32" s="28" t="s">
        <v>74</v>
      </c>
      <c r="I32" s="28" t="s">
        <v>62</v>
      </c>
      <c r="J32" s="29" t="s">
        <v>75</v>
      </c>
      <c r="K32" s="29" t="s">
        <v>76</v>
      </c>
      <c r="L32" s="28" t="s">
        <v>11</v>
      </c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20"/>
      <c r="AK32" s="20"/>
      <c r="AL32" s="20"/>
      <c r="AM32" s="20"/>
    </row>
    <row r="33">
      <c r="A33" s="7" t="s">
        <v>12</v>
      </c>
      <c r="B33" s="8">
        <v>81.0</v>
      </c>
      <c r="C33" s="9">
        <f>SUM(B40:AF40)</f>
        <v>19</v>
      </c>
      <c r="D33" s="93">
        <f t="shared" ref="D33:D35" si="11">C33/B33</f>
        <v>0.2345679012</v>
      </c>
      <c r="E33" s="19">
        <f>B33-C33</f>
        <v>62</v>
      </c>
      <c r="F33" s="9">
        <f>C33/AJ7*AK7</f>
        <v>84.14285714</v>
      </c>
      <c r="G33" s="45">
        <f t="shared" ref="G33:G35" si="12">F33/B33</f>
        <v>1.038800705</v>
      </c>
      <c r="H33" s="9">
        <f>F33-B33</f>
        <v>3.142857143</v>
      </c>
      <c r="I33" s="12">
        <f>E33/(AK7-AJ7)</f>
        <v>2.583333333</v>
      </c>
      <c r="J33" s="12">
        <f>B33/AK2</f>
        <v>2.612903226</v>
      </c>
      <c r="K33" s="9">
        <f>C33/AJ2</f>
        <v>2.714285714</v>
      </c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20"/>
      <c r="AK33" s="20"/>
      <c r="AL33" s="20"/>
      <c r="AM33" s="20"/>
    </row>
    <row r="34">
      <c r="A34" s="7" t="s">
        <v>13</v>
      </c>
      <c r="B34" s="9">
        <f t="shared" ref="B34:C34" si="10">B35/B33</f>
        <v>1344.716049</v>
      </c>
      <c r="C34" s="9">
        <f t="shared" si="10"/>
        <v>897.3915811</v>
      </c>
      <c r="D34" s="93">
        <f t="shared" si="11"/>
        <v>0.6673465238</v>
      </c>
      <c r="E34" s="78"/>
      <c r="F34" s="9">
        <f>F35/F33</f>
        <v>897.3915811</v>
      </c>
      <c r="G34" s="45">
        <f t="shared" si="12"/>
        <v>0.6673465238</v>
      </c>
      <c r="H34" s="9"/>
      <c r="I34" s="87"/>
      <c r="J34" s="79"/>
      <c r="K34" s="79"/>
      <c r="L34" s="79"/>
      <c r="M34" s="79"/>
      <c r="N34" s="79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18"/>
      <c r="AK34" s="18"/>
      <c r="AL34" s="18"/>
      <c r="AM34" s="18"/>
    </row>
    <row r="35">
      <c r="A35" s="7" t="s">
        <v>14</v>
      </c>
      <c r="B35" s="8">
        <v>108922.0</v>
      </c>
      <c r="C35" s="9">
        <f>SUM(A39:AF39)</f>
        <v>17050.44004</v>
      </c>
      <c r="D35" s="93">
        <f t="shared" si="11"/>
        <v>0.1565380735</v>
      </c>
      <c r="E35" s="78">
        <f>B35-C35</f>
        <v>91871.55996</v>
      </c>
      <c r="F35" s="9">
        <f>C35/AJ7*AK7</f>
        <v>75509.09161</v>
      </c>
      <c r="G35" s="45">
        <f t="shared" si="12"/>
        <v>0.6932400397</v>
      </c>
      <c r="H35" s="9">
        <f>F35-B35</f>
        <v>-33412.90839</v>
      </c>
      <c r="I35" s="87">
        <f>E35/(AK7-AJ7)</f>
        <v>3827.981665</v>
      </c>
      <c r="J35" s="91">
        <f>B35/AK2</f>
        <v>3513.612903</v>
      </c>
      <c r="K35" s="84">
        <f>C35/AJ2</f>
        <v>2435.777149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20"/>
      <c r="AK35" s="20"/>
      <c r="AL35" s="20"/>
      <c r="AM35" s="20"/>
    </row>
    <row r="36">
      <c r="A36" s="51"/>
      <c r="B36" s="78"/>
      <c r="C36" s="79"/>
      <c r="D36" s="79"/>
      <c r="E36" s="51"/>
      <c r="F36" s="51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20"/>
      <c r="AK36" s="20"/>
      <c r="AL36" s="20"/>
      <c r="AM36" s="20"/>
    </row>
    <row r="37">
      <c r="A37" s="33" t="s">
        <v>77</v>
      </c>
      <c r="B37" s="34" t="s">
        <v>20</v>
      </c>
      <c r="C37" s="34" t="s">
        <v>21</v>
      </c>
      <c r="D37" s="34" t="s">
        <v>22</v>
      </c>
      <c r="E37" s="34" t="s">
        <v>23</v>
      </c>
      <c r="F37" s="34" t="s">
        <v>24</v>
      </c>
      <c r="G37" s="34" t="s">
        <v>25</v>
      </c>
      <c r="H37" s="34" t="s">
        <v>26</v>
      </c>
      <c r="I37" s="34" t="s">
        <v>20</v>
      </c>
      <c r="J37" s="34" t="s">
        <v>21</v>
      </c>
      <c r="K37" s="34" t="s">
        <v>22</v>
      </c>
      <c r="L37" s="34" t="s">
        <v>23</v>
      </c>
      <c r="M37" s="34" t="s">
        <v>24</v>
      </c>
      <c r="N37" s="34" t="s">
        <v>25</v>
      </c>
      <c r="O37" s="34" t="s">
        <v>26</v>
      </c>
      <c r="P37" s="34" t="s">
        <v>20</v>
      </c>
      <c r="Q37" s="34" t="s">
        <v>21</v>
      </c>
      <c r="R37" s="34" t="s">
        <v>22</v>
      </c>
      <c r="S37" s="34" t="s">
        <v>23</v>
      </c>
      <c r="T37" s="34" t="s">
        <v>24</v>
      </c>
      <c r="U37" s="34" t="s">
        <v>25</v>
      </c>
      <c r="V37" s="34" t="s">
        <v>26</v>
      </c>
      <c r="W37" s="34" t="s">
        <v>20</v>
      </c>
      <c r="X37" s="34" t="s">
        <v>21</v>
      </c>
      <c r="Y37" s="34" t="s">
        <v>22</v>
      </c>
      <c r="Z37" s="34" t="s">
        <v>23</v>
      </c>
      <c r="AA37" s="34" t="s">
        <v>24</v>
      </c>
      <c r="AB37" s="34" t="s">
        <v>25</v>
      </c>
      <c r="AC37" s="34" t="s">
        <v>26</v>
      </c>
      <c r="AD37" s="34" t="s">
        <v>20</v>
      </c>
      <c r="AE37" s="34" t="s">
        <v>21</v>
      </c>
      <c r="AF37" s="34" t="s">
        <v>22</v>
      </c>
      <c r="AJ37" s="20"/>
      <c r="AK37" s="20"/>
      <c r="AL37" s="20"/>
      <c r="AM37" s="20"/>
    </row>
    <row r="38">
      <c r="A38" s="72" t="s">
        <v>69</v>
      </c>
      <c r="B38" s="48">
        <v>44531.0</v>
      </c>
      <c r="C38" s="48">
        <v>44532.0</v>
      </c>
      <c r="D38" s="48">
        <v>44533.0</v>
      </c>
      <c r="E38" s="48">
        <v>44534.0</v>
      </c>
      <c r="F38" s="48">
        <v>44535.0</v>
      </c>
      <c r="G38" s="48">
        <v>44536.0</v>
      </c>
      <c r="H38" s="48">
        <v>44537.0</v>
      </c>
      <c r="I38" s="48">
        <v>44538.0</v>
      </c>
      <c r="J38" s="48">
        <v>44539.0</v>
      </c>
      <c r="K38" s="48">
        <v>44540.0</v>
      </c>
      <c r="L38" s="48">
        <v>44541.0</v>
      </c>
      <c r="M38" s="48">
        <v>44542.0</v>
      </c>
      <c r="N38" s="48">
        <v>44543.0</v>
      </c>
      <c r="O38" s="48">
        <v>44544.0</v>
      </c>
      <c r="P38" s="48">
        <v>44545.0</v>
      </c>
      <c r="Q38" s="48">
        <v>44546.0</v>
      </c>
      <c r="R38" s="48">
        <v>44547.0</v>
      </c>
      <c r="S38" s="48">
        <v>44548.0</v>
      </c>
      <c r="T38" s="48">
        <v>44549.0</v>
      </c>
      <c r="U38" s="48">
        <v>44550.0</v>
      </c>
      <c r="V38" s="48">
        <v>44551.0</v>
      </c>
      <c r="W38" s="48">
        <v>44552.0</v>
      </c>
      <c r="X38" s="48">
        <v>44553.0</v>
      </c>
      <c r="Y38" s="48">
        <v>44554.0</v>
      </c>
      <c r="Z38" s="48">
        <v>44555.0</v>
      </c>
      <c r="AA38" s="48">
        <v>44556.0</v>
      </c>
      <c r="AB38" s="48">
        <v>44557.0</v>
      </c>
      <c r="AC38" s="48">
        <v>44558.0</v>
      </c>
      <c r="AD38" s="48">
        <v>44559.0</v>
      </c>
      <c r="AE38" s="48">
        <v>44560.0</v>
      </c>
      <c r="AF38" s="48">
        <v>44561.0</v>
      </c>
      <c r="AJ38" s="18"/>
      <c r="AK38" s="18"/>
      <c r="AL38" s="18"/>
      <c r="AM38" s="18"/>
    </row>
    <row r="39">
      <c r="A39" s="49" t="s">
        <v>28</v>
      </c>
      <c r="B39" s="38">
        <f>1.004*2489.08
</f>
        <v>2499.03632</v>
      </c>
      <c r="C39" s="38">
        <f>1.004*2285.53</f>
        <v>2294.67212</v>
      </c>
      <c r="D39" s="38">
        <f>1.004*1779.04</f>
        <v>1786.15616</v>
      </c>
      <c r="E39" s="38">
        <f>1.004*999.11
</f>
        <v>1003.10644</v>
      </c>
      <c r="F39" s="38">
        <f>1.004*3898.13
</f>
        <v>3913.72252</v>
      </c>
      <c r="G39" s="38">
        <f>1.004*3009.77
</f>
        <v>3021.80908</v>
      </c>
      <c r="H39" s="38">
        <f>1.004*2521.85</f>
        <v>2531.9374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J39" s="20"/>
      <c r="AK39" s="20"/>
      <c r="AL39" s="20"/>
      <c r="AM39" s="20"/>
    </row>
    <row r="40">
      <c r="A40" s="49" t="s">
        <v>29</v>
      </c>
      <c r="B40" s="38">
        <v>3.0</v>
      </c>
      <c r="C40" s="38">
        <v>3.0</v>
      </c>
      <c r="D40" s="38">
        <v>2.0</v>
      </c>
      <c r="E40" s="38">
        <v>1.0</v>
      </c>
      <c r="F40" s="38">
        <v>4.0</v>
      </c>
      <c r="G40" s="38">
        <v>4.0</v>
      </c>
      <c r="H40" s="38">
        <v>2.0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J40" s="20"/>
      <c r="AK40" s="20"/>
      <c r="AL40" s="20"/>
      <c r="AM40" s="20"/>
    </row>
    <row r="41">
      <c r="A41" s="35" t="s">
        <v>30</v>
      </c>
      <c r="B41" s="39">
        <f t="shared" ref="B41:M41" si="13">B39/B40</f>
        <v>833.0121067</v>
      </c>
      <c r="C41" s="39">
        <f t="shared" si="13"/>
        <v>764.8907067</v>
      </c>
      <c r="D41" s="39">
        <f t="shared" si="13"/>
        <v>893.07808</v>
      </c>
      <c r="E41" s="39">
        <f t="shared" si="13"/>
        <v>1003.10644</v>
      </c>
      <c r="F41" s="39">
        <f t="shared" si="13"/>
        <v>978.43063</v>
      </c>
      <c r="G41" s="39">
        <f t="shared" si="13"/>
        <v>755.45227</v>
      </c>
      <c r="H41" s="39">
        <f t="shared" si="13"/>
        <v>1265.9687</v>
      </c>
      <c r="I41" s="39" t="str">
        <f t="shared" si="13"/>
        <v>#DIV/0!</v>
      </c>
      <c r="J41" s="39" t="str">
        <f t="shared" si="13"/>
        <v>#DIV/0!</v>
      </c>
      <c r="K41" s="39" t="str">
        <f t="shared" si="13"/>
        <v>#DIV/0!</v>
      </c>
      <c r="L41" s="39" t="str">
        <f t="shared" si="13"/>
        <v>#DIV/0!</v>
      </c>
      <c r="M41" s="39" t="str">
        <f t="shared" si="13"/>
        <v>#DIV/0!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J41" s="40"/>
      <c r="AK41" s="40"/>
      <c r="AL41" s="40"/>
      <c r="AM41" s="40"/>
    </row>
    <row r="42">
      <c r="A42" s="7"/>
      <c r="B42" s="78"/>
      <c r="C42" s="85"/>
      <c r="D42" s="85"/>
      <c r="E42" s="85"/>
      <c r="F42" s="85"/>
      <c r="G42" s="85"/>
      <c r="H42" s="85"/>
      <c r="I42" s="85"/>
      <c r="J42" s="85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79"/>
      <c r="AD42" s="79"/>
      <c r="AE42" s="79"/>
      <c r="AF42" s="79"/>
      <c r="AG42" s="79"/>
      <c r="AH42" s="79"/>
      <c r="AI42" s="79"/>
      <c r="AJ42" s="20"/>
      <c r="AK42" s="20"/>
      <c r="AL42" s="20"/>
      <c r="AM42" s="20"/>
    </row>
    <row r="43">
      <c r="A43" s="7"/>
      <c r="B43" s="78"/>
      <c r="C43" s="85"/>
      <c r="D43" s="85"/>
      <c r="E43" s="85"/>
      <c r="F43" s="85"/>
      <c r="G43" s="85"/>
      <c r="H43" s="85"/>
      <c r="I43" s="85"/>
      <c r="J43" s="85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79"/>
      <c r="AD43" s="79"/>
      <c r="AE43" s="79"/>
      <c r="AF43" s="79"/>
      <c r="AG43" s="79"/>
      <c r="AH43" s="79"/>
      <c r="AI43" s="79"/>
      <c r="AJ43" s="20"/>
      <c r="AK43" s="20"/>
      <c r="AL43" s="20"/>
      <c r="AM43" s="20"/>
    </row>
    <row r="44">
      <c r="A44" s="7"/>
      <c r="B44" s="78"/>
      <c r="C44" s="85"/>
      <c r="D44" s="85"/>
      <c r="E44" s="85"/>
      <c r="F44" s="85"/>
      <c r="G44" s="85"/>
      <c r="H44" s="85"/>
      <c r="I44" s="85"/>
      <c r="J44" s="85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79"/>
      <c r="AD44" s="79"/>
      <c r="AE44" s="79"/>
      <c r="AF44" s="79"/>
      <c r="AG44" s="79"/>
      <c r="AH44" s="79"/>
      <c r="AI44" s="79"/>
      <c r="AJ44" s="20"/>
      <c r="AK44" s="20"/>
      <c r="AL44" s="20"/>
      <c r="AM44" s="20"/>
    </row>
    <row r="45">
      <c r="A45" s="7"/>
      <c r="B45" s="78"/>
      <c r="C45" s="85"/>
      <c r="D45" s="85"/>
      <c r="E45" s="85"/>
      <c r="F45" s="85"/>
      <c r="G45" s="85"/>
      <c r="H45" s="85"/>
      <c r="I45" s="85"/>
      <c r="J45" s="85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79"/>
      <c r="AD45" s="79"/>
      <c r="AE45" s="79"/>
      <c r="AF45" s="79"/>
      <c r="AG45" s="79"/>
      <c r="AH45" s="79"/>
      <c r="AI45" s="79"/>
      <c r="AJ45" s="20"/>
      <c r="AK45" s="20"/>
      <c r="AL45" s="20"/>
      <c r="AM45" s="20"/>
    </row>
    <row r="46">
      <c r="A46" s="7"/>
      <c r="B46" s="78"/>
      <c r="C46" s="85"/>
      <c r="D46" s="85"/>
      <c r="E46" s="85"/>
      <c r="F46" s="85"/>
      <c r="G46" s="85"/>
      <c r="H46" s="85"/>
      <c r="I46" s="85"/>
      <c r="J46" s="85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79"/>
      <c r="AD46" s="79"/>
      <c r="AE46" s="79"/>
      <c r="AF46" s="79"/>
      <c r="AG46" s="79"/>
      <c r="AH46" s="79"/>
      <c r="AI46" s="79"/>
      <c r="AJ46" s="20"/>
      <c r="AK46" s="20"/>
      <c r="AL46" s="20"/>
      <c r="AM46" s="20"/>
    </row>
    <row r="47">
      <c r="A47" s="7"/>
      <c r="B47" s="78"/>
      <c r="C47" s="85"/>
      <c r="D47" s="85"/>
      <c r="E47" s="85"/>
      <c r="F47" s="85"/>
      <c r="G47" s="85"/>
      <c r="H47" s="85"/>
      <c r="I47" s="85"/>
      <c r="J47" s="85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79"/>
      <c r="AD47" s="79"/>
      <c r="AE47" s="79"/>
      <c r="AF47" s="79"/>
      <c r="AG47" s="79"/>
      <c r="AH47" s="79"/>
      <c r="AI47" s="79"/>
      <c r="AJ47" s="20"/>
      <c r="AK47" s="20"/>
      <c r="AL47" s="20"/>
      <c r="AM47" s="20"/>
    </row>
    <row r="48">
      <c r="A48" s="7"/>
      <c r="B48" s="78"/>
      <c r="C48" s="85"/>
      <c r="D48" s="85"/>
      <c r="E48" s="85"/>
      <c r="F48" s="85"/>
      <c r="G48" s="85"/>
      <c r="H48" s="85"/>
      <c r="I48" s="85"/>
      <c r="J48" s="85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79"/>
      <c r="AD48" s="79"/>
      <c r="AE48" s="79"/>
      <c r="AF48" s="79"/>
      <c r="AG48" s="79"/>
      <c r="AH48" s="79"/>
      <c r="AI48" s="79"/>
      <c r="AJ48" s="20"/>
      <c r="AK48" s="20"/>
      <c r="AL48" s="20"/>
      <c r="AM48" s="20"/>
    </row>
    <row r="49">
      <c r="A49" s="7"/>
      <c r="B49" s="78"/>
      <c r="C49" s="85"/>
      <c r="D49" s="85"/>
      <c r="E49" s="85"/>
      <c r="F49" s="85"/>
      <c r="G49" s="85"/>
      <c r="H49" s="85"/>
      <c r="I49" s="85"/>
      <c r="J49" s="8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79"/>
      <c r="AD49" s="79"/>
      <c r="AE49" s="79"/>
      <c r="AF49" s="79"/>
      <c r="AG49" s="79"/>
      <c r="AH49" s="79"/>
      <c r="AI49" s="79"/>
      <c r="AJ49" s="20"/>
      <c r="AK49" s="20"/>
      <c r="AL49" s="20"/>
      <c r="AM49" s="20"/>
    </row>
    <row r="50">
      <c r="A50" s="7"/>
      <c r="B50" s="78"/>
      <c r="C50" s="85"/>
      <c r="D50" s="85"/>
      <c r="E50" s="85"/>
      <c r="F50" s="85"/>
      <c r="G50" s="85"/>
      <c r="H50" s="85"/>
      <c r="I50" s="85"/>
      <c r="J50" s="8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79"/>
      <c r="AD50" s="79"/>
      <c r="AE50" s="79"/>
      <c r="AF50" s="79"/>
      <c r="AG50" s="79"/>
      <c r="AH50" s="79"/>
      <c r="AI50" s="79"/>
      <c r="AJ50" s="20"/>
      <c r="AK50" s="20"/>
      <c r="AL50" s="20"/>
      <c r="AM50" s="20"/>
    </row>
    <row r="51">
      <c r="A51" s="7"/>
      <c r="B51" s="78"/>
      <c r="C51" s="85"/>
      <c r="D51" s="85"/>
      <c r="E51" s="85"/>
      <c r="F51" s="85"/>
      <c r="G51" s="85"/>
      <c r="H51" s="85"/>
      <c r="I51" s="85"/>
      <c r="J51" s="8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79"/>
      <c r="AD51" s="79"/>
      <c r="AE51" s="79"/>
      <c r="AF51" s="79"/>
      <c r="AG51" s="79"/>
      <c r="AH51" s="79"/>
      <c r="AI51" s="79"/>
      <c r="AJ51" s="20"/>
      <c r="AK51" s="20"/>
      <c r="AL51" s="20"/>
      <c r="AM51" s="20"/>
    </row>
    <row r="52">
      <c r="A52" s="7"/>
      <c r="B52" s="78"/>
      <c r="C52" s="85"/>
      <c r="D52" s="85"/>
      <c r="E52" s="85"/>
      <c r="F52" s="85"/>
      <c r="G52" s="85"/>
      <c r="H52" s="85"/>
      <c r="I52" s="85"/>
      <c r="J52" s="85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79"/>
      <c r="AD52" s="79"/>
      <c r="AE52" s="79"/>
      <c r="AF52" s="79"/>
      <c r="AG52" s="79"/>
      <c r="AH52" s="79"/>
      <c r="AI52" s="79"/>
      <c r="AJ52" s="20"/>
      <c r="AK52" s="20"/>
      <c r="AL52" s="20"/>
      <c r="AM52" s="20"/>
    </row>
    <row r="53">
      <c r="A53" s="7"/>
      <c r="B53" s="78"/>
      <c r="C53" s="85"/>
      <c r="D53" s="85"/>
      <c r="E53" s="85"/>
      <c r="F53" s="85"/>
      <c r="G53" s="85"/>
      <c r="H53" s="85"/>
      <c r="I53" s="85"/>
      <c r="J53" s="85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79"/>
      <c r="AD53" s="79"/>
      <c r="AE53" s="79"/>
      <c r="AF53" s="79"/>
      <c r="AG53" s="79"/>
      <c r="AH53" s="79"/>
      <c r="AI53" s="79"/>
      <c r="AJ53" s="20"/>
      <c r="AK53" s="20"/>
      <c r="AL53" s="20"/>
      <c r="AM53" s="20"/>
    </row>
    <row r="54">
      <c r="A54" s="7"/>
      <c r="B54" s="78"/>
      <c r="C54" s="85"/>
      <c r="D54" s="85"/>
      <c r="E54" s="85"/>
      <c r="F54" s="85"/>
      <c r="G54" s="85"/>
      <c r="H54" s="85"/>
      <c r="I54" s="85"/>
      <c r="J54" s="85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79"/>
      <c r="AD54" s="79"/>
      <c r="AE54" s="79"/>
      <c r="AF54" s="79"/>
      <c r="AG54" s="79"/>
      <c r="AH54" s="79"/>
      <c r="AI54" s="79"/>
      <c r="AJ54" s="20"/>
      <c r="AK54" s="20"/>
      <c r="AL54" s="20"/>
      <c r="AM54" s="20"/>
    </row>
    <row r="55">
      <c r="A55" s="7"/>
      <c r="B55" s="78"/>
      <c r="C55" s="85"/>
      <c r="D55" s="85"/>
      <c r="E55" s="85"/>
      <c r="F55" s="85"/>
      <c r="G55" s="85"/>
      <c r="H55" s="85"/>
      <c r="I55" s="85"/>
      <c r="J55" s="85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79"/>
      <c r="AD55" s="79"/>
      <c r="AE55" s="79"/>
      <c r="AF55" s="79"/>
      <c r="AG55" s="79"/>
      <c r="AH55" s="79"/>
      <c r="AI55" s="79"/>
      <c r="AJ55" s="20"/>
      <c r="AK55" s="20"/>
      <c r="AL55" s="20"/>
      <c r="AM55" s="20"/>
    </row>
    <row r="56">
      <c r="A56" s="74" t="s">
        <v>78</v>
      </c>
      <c r="B56" s="2" t="s">
        <v>1</v>
      </c>
      <c r="C56" s="3" t="s">
        <v>2</v>
      </c>
      <c r="D56" s="3" t="s">
        <v>3</v>
      </c>
      <c r="E56" s="3" t="s">
        <v>4</v>
      </c>
      <c r="F56" s="75" t="s">
        <v>5</v>
      </c>
      <c r="G56" s="75" t="s">
        <v>61</v>
      </c>
      <c r="H56" s="3" t="s">
        <v>7</v>
      </c>
      <c r="I56" s="75" t="s">
        <v>62</v>
      </c>
      <c r="J56" s="75" t="s">
        <v>63</v>
      </c>
      <c r="K56" s="75" t="s">
        <v>10</v>
      </c>
      <c r="L56" s="3" t="s">
        <v>64</v>
      </c>
      <c r="M56" s="76"/>
      <c r="N56" s="76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0"/>
      <c r="AK56" s="20"/>
      <c r="AL56" s="20"/>
      <c r="AM56" s="20"/>
    </row>
    <row r="57">
      <c r="A57" s="7" t="s">
        <v>12</v>
      </c>
      <c r="B57" s="9">
        <f t="shared" ref="B57:C57" si="14">B62+B75+B88</f>
        <v>200</v>
      </c>
      <c r="C57" s="9">
        <f t="shared" si="14"/>
        <v>169</v>
      </c>
      <c r="D57" s="10">
        <f t="shared" ref="D57:D59" si="16">C57/B57</f>
        <v>0.845</v>
      </c>
      <c r="E57" s="9">
        <f t="shared" ref="E57:E59" si="17">B57-C57</f>
        <v>31</v>
      </c>
      <c r="F57" s="9">
        <f>C57/AJ57*AK57</f>
        <v>748.4285714</v>
      </c>
      <c r="G57" s="45">
        <f t="shared" ref="G57:G59" si="18">F57/B57</f>
        <v>3.742142857</v>
      </c>
      <c r="H57" s="9">
        <f>F57-B57</f>
        <v>548.4285714</v>
      </c>
      <c r="I57" s="9">
        <f>E57/(AK57-AJ57)</f>
        <v>1.291666667</v>
      </c>
      <c r="J57" s="9">
        <f>B57/AK57</f>
        <v>6.451612903</v>
      </c>
      <c r="K57" s="9">
        <f>C57/AJ57</f>
        <v>24.14285714</v>
      </c>
      <c r="L57" s="78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14">
        <f>AK58</f>
        <v>7</v>
      </c>
      <c r="AK57" s="14" t="str">
        <f>AM57</f>
        <v>31</v>
      </c>
      <c r="AL57" s="15">
        <f>DATE(YEAR(TODAY()),MONTH(TODAY())+1,1)-1</f>
        <v>44561</v>
      </c>
      <c r="AM57" s="14" t="str">
        <f>LEFT(AL57, 2)</f>
        <v>31</v>
      </c>
    </row>
    <row r="58">
      <c r="A58" s="7" t="s">
        <v>13</v>
      </c>
      <c r="B58" s="9">
        <f t="shared" ref="B58:C58" si="15">B59/B57</f>
        <v>1062</v>
      </c>
      <c r="C58" s="9">
        <f t="shared" si="15"/>
        <v>935.7202769</v>
      </c>
      <c r="D58" s="10">
        <f t="shared" si="16"/>
        <v>0.8810925395</v>
      </c>
      <c r="E58" s="9">
        <f t="shared" si="17"/>
        <v>126.2797231</v>
      </c>
      <c r="F58" s="9">
        <f>F59/F57</f>
        <v>935.7202769</v>
      </c>
      <c r="G58" s="45">
        <f t="shared" si="18"/>
        <v>0.8810925395</v>
      </c>
      <c r="H58" s="9"/>
      <c r="I58" s="9"/>
      <c r="J58" s="9"/>
      <c r="L58" s="78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17">
        <f>TODAY()</f>
        <v>44538</v>
      </c>
      <c r="AK58" s="14">
        <f>LEFT(AJ58, 2)-1</f>
        <v>7</v>
      </c>
      <c r="AL58" s="18"/>
      <c r="AM58" s="18"/>
    </row>
    <row r="59">
      <c r="A59" s="7" t="s">
        <v>65</v>
      </c>
      <c r="B59" s="9">
        <f t="shared" ref="B59:C59" si="19">B64+B90</f>
        <v>212400</v>
      </c>
      <c r="C59" s="19">
        <f t="shared" si="19"/>
        <v>158136.7268</v>
      </c>
      <c r="D59" s="10">
        <f t="shared" si="16"/>
        <v>0.7445231959</v>
      </c>
      <c r="E59" s="9">
        <f t="shared" si="17"/>
        <v>54263.2732</v>
      </c>
      <c r="F59" s="9">
        <f>C59/AJ57*AK57</f>
        <v>700319.7901</v>
      </c>
      <c r="G59" s="45">
        <f t="shared" si="18"/>
        <v>3.297174153</v>
      </c>
      <c r="H59" s="9">
        <f>F59-B59</f>
        <v>487919.7901</v>
      </c>
      <c r="I59" s="9">
        <f>E59/(AK57-AJ57)</f>
        <v>2260.969717</v>
      </c>
      <c r="J59" s="9">
        <f>B59/AK57</f>
        <v>6851.612903</v>
      </c>
      <c r="K59" s="9">
        <f>C59/AJ57</f>
        <v>22590.96097</v>
      </c>
      <c r="L59" s="78">
        <f>I59/1.2/1.004</f>
        <v>1876.634891</v>
      </c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20"/>
      <c r="AK59" s="20"/>
      <c r="AL59" s="20"/>
      <c r="AM59" s="20"/>
    </row>
    <row r="60">
      <c r="A60" s="25" t="s">
        <v>66</v>
      </c>
      <c r="B60" s="22"/>
      <c r="C60" s="23"/>
      <c r="D60" s="23"/>
      <c r="E60" s="23"/>
      <c r="F60" s="23"/>
      <c r="G60" s="23"/>
      <c r="H60" s="23"/>
      <c r="I60" s="23"/>
      <c r="J60" s="2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0"/>
      <c r="AK60" s="20"/>
      <c r="AL60" s="20"/>
      <c r="AM60" s="20"/>
    </row>
    <row r="61">
      <c r="A61" s="26" t="s">
        <v>79</v>
      </c>
      <c r="B61" s="27" t="s">
        <v>1</v>
      </c>
      <c r="C61" s="28" t="s">
        <v>2</v>
      </c>
      <c r="D61" s="28" t="s">
        <v>3</v>
      </c>
      <c r="E61" s="28" t="s">
        <v>4</v>
      </c>
      <c r="F61" s="29" t="s">
        <v>5</v>
      </c>
      <c r="G61" s="29" t="s">
        <v>6</v>
      </c>
      <c r="H61" s="28" t="s">
        <v>7</v>
      </c>
      <c r="I61" s="28" t="s">
        <v>62</v>
      </c>
      <c r="J61" s="29" t="s">
        <v>9</v>
      </c>
      <c r="K61" s="29" t="s">
        <v>10</v>
      </c>
      <c r="L61" s="28" t="s">
        <v>11</v>
      </c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20"/>
      <c r="AK61" s="20"/>
      <c r="AL61" s="20"/>
      <c r="AM61" s="20"/>
    </row>
    <row r="62">
      <c r="A62" s="7" t="s">
        <v>12</v>
      </c>
      <c r="B62" s="77">
        <v>110.0</v>
      </c>
      <c r="C62" s="80">
        <f>SUM(B71:AF71)</f>
        <v>79</v>
      </c>
      <c r="D62" s="10">
        <f t="shared" ref="D62:D64" si="21">C62/B62</f>
        <v>0.7181818182</v>
      </c>
      <c r="E62" s="19">
        <f>B62-C62</f>
        <v>31</v>
      </c>
      <c r="F62" s="9">
        <f>C62/AJ62*AK62</f>
        <v>349.8571429</v>
      </c>
      <c r="G62" s="81">
        <f t="shared" ref="G62:G64" si="22">F62/B62</f>
        <v>3.180519481</v>
      </c>
      <c r="H62" s="9">
        <f>F62-B62</f>
        <v>239.8571429</v>
      </c>
      <c r="I62" s="12">
        <f>E62/(AK62-AJ62)</f>
        <v>1.291666667</v>
      </c>
      <c r="J62" s="12">
        <f>B62/AK62</f>
        <v>3.548387097</v>
      </c>
      <c r="K62" s="9">
        <f>C62/AJ57</f>
        <v>11.28571429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14">
        <f>AK63</f>
        <v>7</v>
      </c>
      <c r="AK62" s="14" t="str">
        <f>AM62</f>
        <v>31</v>
      </c>
      <c r="AL62" s="15">
        <f>DATE(YEAR(TODAY()),MONTH(TODAY())+1,1)-1</f>
        <v>44561</v>
      </c>
      <c r="AM62" s="14" t="str">
        <f>LEFT(AL62, 2)</f>
        <v>31</v>
      </c>
    </row>
    <row r="63">
      <c r="A63" s="7" t="s">
        <v>13</v>
      </c>
      <c r="B63" s="80">
        <f t="shared" ref="B63:C63" si="20">B64/B62</f>
        <v>1000</v>
      </c>
      <c r="C63" s="80">
        <f t="shared" si="20"/>
        <v>726.5278243</v>
      </c>
      <c r="D63" s="10">
        <f t="shared" si="21"/>
        <v>0.7265278243</v>
      </c>
      <c r="E63" s="78"/>
      <c r="F63" s="9">
        <f>F64/F62</f>
        <v>726.5278243</v>
      </c>
      <c r="G63" s="81">
        <f t="shared" si="22"/>
        <v>0.7265278243</v>
      </c>
      <c r="H63" s="16"/>
      <c r="I63" s="12"/>
      <c r="J63" s="12"/>
      <c r="K63" s="83"/>
      <c r="L63" s="79"/>
      <c r="M63" s="79"/>
      <c r="N63" s="79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17">
        <f>TODAY()</f>
        <v>44538</v>
      </c>
      <c r="AK63" s="14">
        <f>LEFT(AJ63, 2)-1</f>
        <v>7</v>
      </c>
      <c r="AL63" s="18"/>
      <c r="AM63" s="18"/>
    </row>
    <row r="64">
      <c r="A64" s="7" t="s">
        <v>14</v>
      </c>
      <c r="B64" s="77">
        <v>110000.0</v>
      </c>
      <c r="C64" s="80">
        <f>SUM(B70:AF70)</f>
        <v>57395.69812</v>
      </c>
      <c r="D64" s="10">
        <f t="shared" si="21"/>
        <v>0.5217790738</v>
      </c>
      <c r="E64" s="9">
        <f>B64-C64</f>
        <v>52604.30188</v>
      </c>
      <c r="F64" s="9">
        <f>C64/AJ62*AK62</f>
        <v>254180.9488</v>
      </c>
      <c r="G64" s="81">
        <f t="shared" si="22"/>
        <v>2.310735898</v>
      </c>
      <c r="H64" s="9">
        <f>F64-B64</f>
        <v>144180.9488</v>
      </c>
      <c r="I64" s="12">
        <f>E64/(AK62-AJ62)</f>
        <v>2191.845912</v>
      </c>
      <c r="J64" s="12">
        <f>B64/AK62</f>
        <v>3548.387097</v>
      </c>
      <c r="K64" s="12">
        <f>C64/AJ57</f>
        <v>8199.385446</v>
      </c>
      <c r="L64" s="84">
        <f>I64/1.2/1.004</f>
        <v>1819.261215</v>
      </c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20"/>
      <c r="AK64" s="20"/>
      <c r="AL64" s="20"/>
      <c r="AM64" s="20"/>
    </row>
    <row r="65">
      <c r="A65" s="51"/>
      <c r="B65" s="78"/>
      <c r="C65" s="79"/>
      <c r="D65" s="79"/>
      <c r="E65" s="51"/>
      <c r="F65" s="51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20"/>
      <c r="AK65" s="20"/>
      <c r="AL65" s="20"/>
      <c r="AM65" s="20"/>
    </row>
    <row r="66">
      <c r="A66" s="51"/>
      <c r="B66" s="78"/>
      <c r="C66" s="79"/>
      <c r="D66" s="85"/>
      <c r="E66" s="79"/>
      <c r="F66" s="85"/>
      <c r="G66" s="85"/>
      <c r="H66" s="85"/>
      <c r="I66" s="85"/>
      <c r="J66" s="85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20"/>
      <c r="AK66" s="20"/>
      <c r="AL66" s="20"/>
      <c r="AM66" s="20"/>
    </row>
    <row r="67">
      <c r="A67" s="51"/>
      <c r="B67" s="78"/>
      <c r="C67" s="79"/>
      <c r="D67" s="85"/>
      <c r="E67" s="79"/>
      <c r="F67" s="85"/>
      <c r="G67" s="85"/>
      <c r="H67" s="85"/>
      <c r="I67" s="85"/>
      <c r="J67" s="85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79"/>
      <c r="AD67" s="79"/>
      <c r="AE67" s="79"/>
      <c r="AF67" s="79"/>
      <c r="AG67" s="79"/>
      <c r="AH67" s="79"/>
      <c r="AI67" s="79"/>
      <c r="AJ67" s="20"/>
      <c r="AK67" s="20"/>
      <c r="AL67" s="20"/>
      <c r="AM67" s="20"/>
    </row>
    <row r="68">
      <c r="A68" s="33" t="s">
        <v>80</v>
      </c>
      <c r="B68" s="34" t="s">
        <v>25</v>
      </c>
      <c r="C68" s="34" t="s">
        <v>26</v>
      </c>
      <c r="D68" s="34" t="s">
        <v>20</v>
      </c>
      <c r="E68" s="34" t="s">
        <v>21</v>
      </c>
      <c r="F68" s="34" t="s">
        <v>22</v>
      </c>
      <c r="G68" s="34" t="s">
        <v>23</v>
      </c>
      <c r="H68" s="34" t="s">
        <v>24</v>
      </c>
      <c r="I68" s="34" t="s">
        <v>25</v>
      </c>
      <c r="J68" s="34" t="s">
        <v>26</v>
      </c>
      <c r="K68" s="34" t="s">
        <v>20</v>
      </c>
      <c r="L68" s="34" t="s">
        <v>21</v>
      </c>
      <c r="M68" s="34" t="s">
        <v>22</v>
      </c>
      <c r="N68" s="34" t="s">
        <v>23</v>
      </c>
      <c r="O68" s="34" t="s">
        <v>24</v>
      </c>
      <c r="P68" s="34" t="s">
        <v>25</v>
      </c>
      <c r="Q68" s="34" t="s">
        <v>26</v>
      </c>
      <c r="R68" s="34" t="s">
        <v>20</v>
      </c>
      <c r="S68" s="34" t="s">
        <v>21</v>
      </c>
      <c r="T68" s="34" t="s">
        <v>22</v>
      </c>
      <c r="U68" s="34" t="s">
        <v>23</v>
      </c>
      <c r="V68" s="34" t="s">
        <v>24</v>
      </c>
      <c r="W68" s="34" t="s">
        <v>25</v>
      </c>
      <c r="X68" s="34" t="s">
        <v>26</v>
      </c>
      <c r="Y68" s="34" t="s">
        <v>20</v>
      </c>
      <c r="Z68" s="34" t="s">
        <v>21</v>
      </c>
      <c r="AA68" s="34" t="s">
        <v>22</v>
      </c>
      <c r="AB68" s="34" t="s">
        <v>23</v>
      </c>
      <c r="AC68" s="34" t="s">
        <v>24</v>
      </c>
      <c r="AD68" s="34" t="s">
        <v>25</v>
      </c>
      <c r="AE68" s="34" t="s">
        <v>26</v>
      </c>
      <c r="AF68" s="34"/>
      <c r="AG68" s="30"/>
      <c r="AH68" s="30"/>
      <c r="AI68" s="30"/>
      <c r="AJ68" s="20"/>
      <c r="AK68" s="20"/>
      <c r="AL68" s="20"/>
      <c r="AM68" s="20"/>
    </row>
    <row r="69">
      <c r="A69" s="72" t="s">
        <v>69</v>
      </c>
      <c r="B69" s="48">
        <v>44501.0</v>
      </c>
      <c r="C69" s="48">
        <v>44502.0</v>
      </c>
      <c r="D69" s="48">
        <v>44503.0</v>
      </c>
      <c r="E69" s="48">
        <v>44504.0</v>
      </c>
      <c r="F69" s="48">
        <v>44505.0</v>
      </c>
      <c r="G69" s="48">
        <v>44506.0</v>
      </c>
      <c r="H69" s="48">
        <v>44507.0</v>
      </c>
      <c r="I69" s="48">
        <v>44508.0</v>
      </c>
      <c r="J69" s="48">
        <v>44509.0</v>
      </c>
      <c r="K69" s="48">
        <v>44510.0</v>
      </c>
      <c r="L69" s="48">
        <v>44511.0</v>
      </c>
      <c r="M69" s="48">
        <v>44512.0</v>
      </c>
      <c r="N69" s="48">
        <v>44513.0</v>
      </c>
      <c r="O69" s="48">
        <v>44514.0</v>
      </c>
      <c r="P69" s="48">
        <v>44515.0</v>
      </c>
      <c r="Q69" s="48">
        <v>44516.0</v>
      </c>
      <c r="R69" s="48">
        <v>44517.0</v>
      </c>
      <c r="S69" s="48">
        <v>44518.0</v>
      </c>
      <c r="T69" s="48">
        <v>44519.0</v>
      </c>
      <c r="U69" s="48">
        <v>44520.0</v>
      </c>
      <c r="V69" s="48">
        <v>44521.0</v>
      </c>
      <c r="W69" s="48">
        <v>44522.0</v>
      </c>
      <c r="X69" s="48">
        <v>44523.0</v>
      </c>
      <c r="Y69" s="48">
        <v>44524.0</v>
      </c>
      <c r="Z69" s="48">
        <v>44525.0</v>
      </c>
      <c r="AA69" s="48">
        <v>44526.0</v>
      </c>
      <c r="AB69" s="48">
        <v>44527.0</v>
      </c>
      <c r="AC69" s="48">
        <v>44528.0</v>
      </c>
      <c r="AD69" s="48">
        <v>44529.0</v>
      </c>
      <c r="AE69" s="48">
        <v>44530.0</v>
      </c>
      <c r="AF69" s="48"/>
      <c r="AG69" s="86"/>
      <c r="AH69" s="86"/>
      <c r="AI69" s="86"/>
      <c r="AJ69" s="18"/>
      <c r="AK69" s="18"/>
      <c r="AL69" s="18"/>
      <c r="AM69" s="18"/>
    </row>
    <row r="70">
      <c r="A70" s="49" t="s">
        <v>28</v>
      </c>
      <c r="B70" s="38">
        <f>1.004*1412.08
</f>
        <v>1417.72832</v>
      </c>
      <c r="C70" s="38">
        <f>1.004*2146.66</f>
        <v>2155.24664</v>
      </c>
      <c r="D70" s="38">
        <f>1.004*1193.94</f>
        <v>1198.71576</v>
      </c>
      <c r="E70" s="38">
        <f>1.004*1357.34
</f>
        <v>1362.76936</v>
      </c>
      <c r="F70" s="38">
        <f>1.004*1482.08
</f>
        <v>1488.00832</v>
      </c>
      <c r="G70" s="38">
        <f>1.004*1789.05
</f>
        <v>1796.2062</v>
      </c>
      <c r="H70" s="38">
        <f>1.004*1150.68</f>
        <v>1155.28272</v>
      </c>
      <c r="I70" s="38">
        <f>1.004*1560.19
</f>
        <v>1566.43076</v>
      </c>
      <c r="J70" s="38">
        <f>1.004*2648.31
</f>
        <v>2658.90324</v>
      </c>
      <c r="K70" s="38">
        <f>1.004*4369.96
</f>
        <v>4387.43984</v>
      </c>
      <c r="L70" s="38">
        <f>1.004*2388.71</f>
        <v>2398.26484</v>
      </c>
      <c r="M70" s="38">
        <f>1.004*3374.44</f>
        <v>3387.93776</v>
      </c>
      <c r="N70" s="38">
        <f>1.004*2465.05</f>
        <v>2474.9102</v>
      </c>
      <c r="O70" s="38">
        <f>1.004*2208.46</f>
        <v>2217.29384</v>
      </c>
      <c r="P70" s="38">
        <f>1.004*2415.24</f>
        <v>2424.90096</v>
      </c>
      <c r="Q70" s="38">
        <f>1.004*1770.79
</f>
        <v>1777.87316</v>
      </c>
      <c r="R70" s="38">
        <f>1.004*1638.11</f>
        <v>1644.66244</v>
      </c>
      <c r="S70" s="38">
        <f>1.004*2161.87
</f>
        <v>2170.51748</v>
      </c>
      <c r="T70" s="39">
        <f>1.004*1918.75</f>
        <v>1926.425</v>
      </c>
      <c r="U70" s="39">
        <f>1.004*1535.19
</f>
        <v>1541.33076</v>
      </c>
      <c r="V70" s="39">
        <f>1.004*2750.45
</f>
        <v>2761.4518</v>
      </c>
      <c r="W70" s="39">
        <f>1.004*1947.13
</f>
        <v>1954.91852</v>
      </c>
      <c r="X70" s="39">
        <f>1.004*1458.67</f>
        <v>1464.50468</v>
      </c>
      <c r="Y70" s="39">
        <f>1.004*2020.04</f>
        <v>2028.12016</v>
      </c>
      <c r="Z70" s="39">
        <f>1.004*655.01</f>
        <v>657.63004</v>
      </c>
      <c r="AA70" s="39">
        <f>1.004*421.88</f>
        <v>423.56752</v>
      </c>
      <c r="AB70" s="39">
        <f>1.004*1193.09</f>
        <v>1197.86236</v>
      </c>
      <c r="AC70" s="39">
        <f>1.004*1289.18</f>
        <v>1294.33672</v>
      </c>
      <c r="AD70" s="38">
        <f>1.004*3031.33</f>
        <v>3043.45532</v>
      </c>
      <c r="AE70" s="39">
        <f>1.004*1413.35
</f>
        <v>1419.0034</v>
      </c>
      <c r="AF70" s="39"/>
      <c r="AG70" s="87"/>
      <c r="AH70" s="87"/>
      <c r="AI70" s="87"/>
      <c r="AJ70" s="87"/>
      <c r="AK70" s="87"/>
      <c r="AL70" s="87"/>
      <c r="AM70" s="87"/>
    </row>
    <row r="71">
      <c r="A71" s="49" t="s">
        <v>29</v>
      </c>
      <c r="B71" s="38">
        <v>4.0</v>
      </c>
      <c r="C71" s="38">
        <v>1.0</v>
      </c>
      <c r="D71" s="38">
        <v>3.0</v>
      </c>
      <c r="E71" s="38">
        <v>5.0</v>
      </c>
      <c r="F71" s="38">
        <v>4.0</v>
      </c>
      <c r="G71" s="38">
        <v>2.0</v>
      </c>
      <c r="H71" s="38">
        <v>3.0</v>
      </c>
      <c r="I71" s="38">
        <v>4.0</v>
      </c>
      <c r="J71" s="38">
        <v>4.0</v>
      </c>
      <c r="K71" s="38">
        <v>3.0</v>
      </c>
      <c r="L71" s="38">
        <v>2.0</v>
      </c>
      <c r="M71" s="38">
        <v>4.0</v>
      </c>
      <c r="N71" s="38">
        <v>4.0</v>
      </c>
      <c r="O71" s="38">
        <v>1.0</v>
      </c>
      <c r="P71" s="38">
        <v>1.0</v>
      </c>
      <c r="Q71" s="38">
        <v>2.0</v>
      </c>
      <c r="R71" s="38">
        <v>2.0</v>
      </c>
      <c r="S71" s="38">
        <v>2.0</v>
      </c>
      <c r="T71" s="38">
        <v>1.0</v>
      </c>
      <c r="U71" s="38">
        <v>1.0</v>
      </c>
      <c r="V71" s="38">
        <v>4.0</v>
      </c>
      <c r="W71" s="38">
        <v>1.0</v>
      </c>
      <c r="X71" s="38">
        <v>6.0</v>
      </c>
      <c r="Y71" s="38">
        <v>2.0</v>
      </c>
      <c r="Z71" s="38">
        <v>1.0</v>
      </c>
      <c r="AA71" s="38">
        <v>3.0</v>
      </c>
      <c r="AB71" s="38">
        <v>3.0</v>
      </c>
      <c r="AC71" s="38">
        <v>1.0</v>
      </c>
      <c r="AD71" s="38">
        <v>5.0</v>
      </c>
      <c r="AE71" s="38">
        <v>0.0</v>
      </c>
      <c r="AF71" s="38"/>
      <c r="AG71" s="51"/>
      <c r="AH71" s="51"/>
      <c r="AI71" s="51"/>
      <c r="AJ71" s="20"/>
      <c r="AK71" s="20"/>
      <c r="AL71" s="20"/>
      <c r="AM71" s="20"/>
    </row>
    <row r="72">
      <c r="A72" s="35" t="s">
        <v>30</v>
      </c>
      <c r="B72" s="38">
        <f t="shared" ref="B72:AE72" si="23">B70/B71</f>
        <v>354.43208</v>
      </c>
      <c r="C72" s="38">
        <f t="shared" si="23"/>
        <v>2155.24664</v>
      </c>
      <c r="D72" s="38">
        <f t="shared" si="23"/>
        <v>399.57192</v>
      </c>
      <c r="E72" s="38">
        <f t="shared" si="23"/>
        <v>272.553872</v>
      </c>
      <c r="F72" s="38">
        <f t="shared" si="23"/>
        <v>372.00208</v>
      </c>
      <c r="G72" s="38">
        <f t="shared" si="23"/>
        <v>898.1031</v>
      </c>
      <c r="H72" s="38">
        <f t="shared" si="23"/>
        <v>385.09424</v>
      </c>
      <c r="I72" s="38">
        <f t="shared" si="23"/>
        <v>391.60769</v>
      </c>
      <c r="J72" s="38">
        <f t="shared" si="23"/>
        <v>664.72581</v>
      </c>
      <c r="K72" s="38">
        <f t="shared" si="23"/>
        <v>1462.479947</v>
      </c>
      <c r="L72" s="38">
        <f t="shared" si="23"/>
        <v>1199.13242</v>
      </c>
      <c r="M72" s="38">
        <f t="shared" si="23"/>
        <v>846.98444</v>
      </c>
      <c r="N72" s="38">
        <f t="shared" si="23"/>
        <v>618.72755</v>
      </c>
      <c r="O72" s="38">
        <f t="shared" si="23"/>
        <v>2217.29384</v>
      </c>
      <c r="P72" s="38">
        <f t="shared" si="23"/>
        <v>2424.90096</v>
      </c>
      <c r="Q72" s="38">
        <f t="shared" si="23"/>
        <v>888.93658</v>
      </c>
      <c r="R72" s="38">
        <f t="shared" si="23"/>
        <v>822.33122</v>
      </c>
      <c r="S72" s="38">
        <f t="shared" si="23"/>
        <v>1085.25874</v>
      </c>
      <c r="T72" s="38">
        <f t="shared" si="23"/>
        <v>1926.425</v>
      </c>
      <c r="U72" s="38">
        <f t="shared" si="23"/>
        <v>1541.33076</v>
      </c>
      <c r="V72" s="38">
        <f t="shared" si="23"/>
        <v>690.36295</v>
      </c>
      <c r="W72" s="38">
        <f t="shared" si="23"/>
        <v>1954.91852</v>
      </c>
      <c r="X72" s="38">
        <f t="shared" si="23"/>
        <v>244.0841133</v>
      </c>
      <c r="Y72" s="38">
        <f t="shared" si="23"/>
        <v>1014.06008</v>
      </c>
      <c r="Z72" s="38">
        <f t="shared" si="23"/>
        <v>657.63004</v>
      </c>
      <c r="AA72" s="38">
        <f t="shared" si="23"/>
        <v>141.1891733</v>
      </c>
      <c r="AB72" s="38">
        <f t="shared" si="23"/>
        <v>399.2874533</v>
      </c>
      <c r="AC72" s="38">
        <f t="shared" si="23"/>
        <v>1294.33672</v>
      </c>
      <c r="AD72" s="38">
        <f t="shared" si="23"/>
        <v>608.691064</v>
      </c>
      <c r="AE72" s="38" t="str">
        <f t="shared" si="23"/>
        <v>#DIV/0!</v>
      </c>
      <c r="AF72" s="38"/>
      <c r="AG72" s="87"/>
      <c r="AH72" s="87"/>
      <c r="AI72" s="87"/>
      <c r="AJ72" s="87"/>
      <c r="AK72" s="87"/>
      <c r="AL72" s="87"/>
      <c r="AM72" s="87"/>
    </row>
    <row r="73">
      <c r="A73" s="24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87"/>
      <c r="N73" s="87"/>
      <c r="O73" s="78"/>
      <c r="P73" s="78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40"/>
      <c r="AK73" s="40"/>
      <c r="AL73" s="40"/>
      <c r="AM73" s="40"/>
    </row>
    <row r="74">
      <c r="A74" s="26" t="s">
        <v>81</v>
      </c>
      <c r="B74" s="27" t="s">
        <v>1</v>
      </c>
      <c r="C74" s="27" t="s">
        <v>2</v>
      </c>
      <c r="D74" s="27" t="s">
        <v>3</v>
      </c>
      <c r="E74" s="27" t="s">
        <v>4</v>
      </c>
      <c r="F74" s="88" t="s">
        <v>5</v>
      </c>
      <c r="G74" s="88" t="s">
        <v>71</v>
      </c>
      <c r="H74" s="27" t="s">
        <v>7</v>
      </c>
      <c r="I74" s="28" t="s">
        <v>62</v>
      </c>
      <c r="J74" s="29" t="s">
        <v>63</v>
      </c>
      <c r="K74" s="29" t="s">
        <v>10</v>
      </c>
      <c r="L74" s="28" t="s">
        <v>11</v>
      </c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20"/>
      <c r="AK74" s="20"/>
      <c r="AL74" s="20"/>
      <c r="AM74" s="20"/>
    </row>
    <row r="75">
      <c r="A75" s="7" t="s">
        <v>12</v>
      </c>
      <c r="B75" s="8">
        <v>10.0</v>
      </c>
      <c r="C75" s="9">
        <f>SUM(B84:AF84)</f>
        <v>3</v>
      </c>
      <c r="D75" s="89">
        <f t="shared" ref="D75:D77" si="25">C75/B75</f>
        <v>0.3</v>
      </c>
      <c r="E75" s="19">
        <f>B75-C75</f>
        <v>7</v>
      </c>
      <c r="F75" s="9">
        <f>C75/AJ62*AK62</f>
        <v>13.28571429</v>
      </c>
      <c r="G75" s="73">
        <f>F75/B75</f>
        <v>1.328571429</v>
      </c>
      <c r="H75" s="19">
        <f>F75-B75</f>
        <v>3.285714286</v>
      </c>
      <c r="I75" s="78">
        <f>B75/30</f>
        <v>0.3333333333</v>
      </c>
      <c r="J75" s="82">
        <f>E75/(AK75-AJ75)</f>
        <v>0.2916666667</v>
      </c>
      <c r="K75" s="78">
        <f>C75/AJ57</f>
        <v>0.4285714286</v>
      </c>
      <c r="L75" s="78"/>
      <c r="M75" s="87"/>
      <c r="N75" s="87"/>
      <c r="O75" s="78"/>
      <c r="P75" s="78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14">
        <f>AK76</f>
        <v>7</v>
      </c>
      <c r="AK75" s="14" t="str">
        <f>AM75</f>
        <v>31</v>
      </c>
      <c r="AL75" s="15">
        <f>DATE(YEAR(TODAY()),MONTH(TODAY())+1,1)-1</f>
        <v>44561</v>
      </c>
      <c r="AM75" s="14" t="str">
        <f>LEFT(AL75, 2)</f>
        <v>31</v>
      </c>
    </row>
    <row r="76">
      <c r="A76" s="7" t="s">
        <v>13</v>
      </c>
      <c r="B76" s="9">
        <f t="shared" ref="B76:C76" si="24">B77/B75</f>
        <v>0</v>
      </c>
      <c r="C76" s="9">
        <f t="shared" si="24"/>
        <v>0</v>
      </c>
      <c r="D76" s="89" t="str">
        <f t="shared" si="25"/>
        <v>#DIV/0!</v>
      </c>
      <c r="E76" s="78"/>
      <c r="F76" s="9">
        <f>F77/F75</f>
        <v>0</v>
      </c>
      <c r="G76" s="9"/>
      <c r="H76" s="78"/>
      <c r="I76" s="78"/>
      <c r="J76" s="90"/>
      <c r="K76" s="78"/>
      <c r="L76" s="78"/>
      <c r="M76" s="78"/>
      <c r="N76" s="78"/>
      <c r="O76" s="9"/>
      <c r="P76" s="9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17">
        <f>TODAY()</f>
        <v>44538</v>
      </c>
      <c r="AK76" s="14">
        <f>LEFT(AJ76, 2)-1</f>
        <v>7</v>
      </c>
      <c r="AL76" s="18"/>
      <c r="AM76" s="18"/>
    </row>
    <row r="77">
      <c r="A77" s="7" t="s">
        <v>14</v>
      </c>
      <c r="B77" s="9">
        <v>0.0</v>
      </c>
      <c r="C77" s="9">
        <f>SUM(B83:AF83)</f>
        <v>0</v>
      </c>
      <c r="D77" s="89" t="str">
        <f t="shared" si="25"/>
        <v>#DIV/0!</v>
      </c>
      <c r="E77" s="78">
        <f>B77-C77</f>
        <v>0</v>
      </c>
      <c r="F77" s="9">
        <f>C77/AJ62*AK62</f>
        <v>0</v>
      </c>
      <c r="G77" s="9" t="str">
        <f>F77/B77</f>
        <v>#DIV/0!</v>
      </c>
      <c r="H77" s="78">
        <f>F77-B77</f>
        <v>0</v>
      </c>
      <c r="I77" s="91">
        <f>B77/30</f>
        <v>0</v>
      </c>
      <c r="J77" s="91">
        <f>E77/(AK75-AJ75)</f>
        <v>0</v>
      </c>
      <c r="K77" s="78">
        <f>B77/AJ57</f>
        <v>0</v>
      </c>
      <c r="L77" s="78"/>
      <c r="M77" s="78"/>
      <c r="N77" s="78"/>
      <c r="O77" s="78"/>
      <c r="P77" s="78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20"/>
      <c r="AK77" s="20"/>
      <c r="AL77" s="20"/>
      <c r="AM77" s="20"/>
    </row>
    <row r="78">
      <c r="A78" s="51"/>
      <c r="B78" s="78"/>
      <c r="C78" s="78"/>
      <c r="D78" s="78"/>
      <c r="E78" s="78"/>
      <c r="F78" s="8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20"/>
      <c r="AK78" s="20"/>
      <c r="AL78" s="20"/>
      <c r="AM78" s="20"/>
    </row>
    <row r="79">
      <c r="A79" s="51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20"/>
      <c r="AK79" s="20"/>
      <c r="AL79" s="20"/>
      <c r="AM79" s="20"/>
    </row>
    <row r="80">
      <c r="A80" s="51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79"/>
      <c r="AD80" s="79"/>
      <c r="AE80" s="79"/>
      <c r="AF80" s="79"/>
      <c r="AG80" s="79"/>
      <c r="AH80" s="79"/>
      <c r="AI80" s="79"/>
      <c r="AJ80" s="20"/>
      <c r="AK80" s="20"/>
      <c r="AL80" s="20"/>
      <c r="AM80" s="20"/>
    </row>
    <row r="81">
      <c r="A81" s="33" t="s">
        <v>82</v>
      </c>
      <c r="B81" s="34" t="s">
        <v>25</v>
      </c>
      <c r="C81" s="34" t="s">
        <v>26</v>
      </c>
      <c r="D81" s="34" t="s">
        <v>20</v>
      </c>
      <c r="E81" s="34" t="s">
        <v>21</v>
      </c>
      <c r="F81" s="34" t="s">
        <v>22</v>
      </c>
      <c r="G81" s="34" t="s">
        <v>23</v>
      </c>
      <c r="H81" s="34" t="s">
        <v>24</v>
      </c>
      <c r="I81" s="34" t="s">
        <v>25</v>
      </c>
      <c r="J81" s="34" t="s">
        <v>26</v>
      </c>
      <c r="K81" s="34" t="s">
        <v>20</v>
      </c>
      <c r="L81" s="34" t="s">
        <v>21</v>
      </c>
      <c r="M81" s="34" t="s">
        <v>22</v>
      </c>
      <c r="N81" s="34" t="s">
        <v>23</v>
      </c>
      <c r="O81" s="34" t="s">
        <v>24</v>
      </c>
      <c r="P81" s="34" t="s">
        <v>25</v>
      </c>
      <c r="Q81" s="34" t="s">
        <v>26</v>
      </c>
      <c r="R81" s="34" t="s">
        <v>20</v>
      </c>
      <c r="S81" s="34" t="s">
        <v>21</v>
      </c>
      <c r="T81" s="34" t="s">
        <v>22</v>
      </c>
      <c r="U81" s="34" t="s">
        <v>23</v>
      </c>
      <c r="V81" s="34" t="s">
        <v>24</v>
      </c>
      <c r="W81" s="34" t="s">
        <v>25</v>
      </c>
      <c r="X81" s="34" t="s">
        <v>26</v>
      </c>
      <c r="Y81" s="34" t="s">
        <v>20</v>
      </c>
      <c r="Z81" s="34" t="s">
        <v>21</v>
      </c>
      <c r="AA81" s="34" t="s">
        <v>22</v>
      </c>
      <c r="AB81" s="34" t="s">
        <v>23</v>
      </c>
      <c r="AC81" s="34" t="s">
        <v>24</v>
      </c>
      <c r="AD81" s="34" t="s">
        <v>25</v>
      </c>
      <c r="AE81" s="34" t="s">
        <v>26</v>
      </c>
      <c r="AF81" s="34"/>
      <c r="AG81" s="79"/>
      <c r="AH81" s="79"/>
      <c r="AI81" s="79"/>
      <c r="AJ81" s="20"/>
      <c r="AK81" s="20"/>
      <c r="AL81" s="20"/>
      <c r="AM81" s="20"/>
    </row>
    <row r="82">
      <c r="A82" s="72" t="s">
        <v>69</v>
      </c>
      <c r="B82" s="48">
        <v>44501.0</v>
      </c>
      <c r="C82" s="48">
        <v>44502.0</v>
      </c>
      <c r="D82" s="48">
        <v>44503.0</v>
      </c>
      <c r="E82" s="48">
        <v>44504.0</v>
      </c>
      <c r="F82" s="48">
        <v>44505.0</v>
      </c>
      <c r="G82" s="48">
        <v>44506.0</v>
      </c>
      <c r="H82" s="48">
        <v>44507.0</v>
      </c>
      <c r="I82" s="48">
        <v>44508.0</v>
      </c>
      <c r="J82" s="48">
        <v>44509.0</v>
      </c>
      <c r="K82" s="48">
        <v>44510.0</v>
      </c>
      <c r="L82" s="48">
        <v>44511.0</v>
      </c>
      <c r="M82" s="48">
        <v>44512.0</v>
      </c>
      <c r="N82" s="48">
        <v>44513.0</v>
      </c>
      <c r="O82" s="48">
        <v>44514.0</v>
      </c>
      <c r="P82" s="48">
        <v>44515.0</v>
      </c>
      <c r="Q82" s="48">
        <v>44516.0</v>
      </c>
      <c r="R82" s="48">
        <v>44517.0</v>
      </c>
      <c r="S82" s="48">
        <v>44518.0</v>
      </c>
      <c r="T82" s="48">
        <v>44519.0</v>
      </c>
      <c r="U82" s="48">
        <v>44520.0</v>
      </c>
      <c r="V82" s="48">
        <v>44521.0</v>
      </c>
      <c r="W82" s="48">
        <v>44522.0</v>
      </c>
      <c r="X82" s="48">
        <v>44523.0</v>
      </c>
      <c r="Y82" s="48">
        <v>44524.0</v>
      </c>
      <c r="Z82" s="48">
        <v>44525.0</v>
      </c>
      <c r="AA82" s="48">
        <v>44526.0</v>
      </c>
      <c r="AB82" s="48">
        <v>44527.0</v>
      </c>
      <c r="AC82" s="48">
        <v>44528.0</v>
      </c>
      <c r="AD82" s="48">
        <v>44529.0</v>
      </c>
      <c r="AE82" s="48">
        <v>44530.0</v>
      </c>
      <c r="AF82" s="48"/>
      <c r="AG82" s="55"/>
      <c r="AH82" s="55"/>
      <c r="AI82" s="55"/>
      <c r="AJ82" s="18"/>
      <c r="AK82" s="18"/>
      <c r="AL82" s="18"/>
      <c r="AM82" s="18"/>
    </row>
    <row r="83">
      <c r="A83" s="49" t="s">
        <v>28</v>
      </c>
      <c r="B83" s="38">
        <v>0.0</v>
      </c>
      <c r="C83" s="38">
        <v>0.0</v>
      </c>
      <c r="D83" s="38">
        <v>0.0</v>
      </c>
      <c r="E83" s="38">
        <v>0.0</v>
      </c>
      <c r="F83" s="38">
        <v>0.0</v>
      </c>
      <c r="G83" s="38">
        <v>0.0</v>
      </c>
      <c r="H83" s="38">
        <v>0.0</v>
      </c>
      <c r="I83" s="38">
        <v>0.0</v>
      </c>
      <c r="J83" s="38">
        <v>0.0</v>
      </c>
      <c r="K83" s="38">
        <v>0.0</v>
      </c>
      <c r="L83" s="38">
        <v>0.0</v>
      </c>
      <c r="M83" s="38">
        <v>0.0</v>
      </c>
      <c r="N83" s="38">
        <v>0.0</v>
      </c>
      <c r="O83" s="38">
        <v>0.0</v>
      </c>
      <c r="P83" s="38">
        <v>0.0</v>
      </c>
      <c r="Q83" s="38">
        <v>0.0</v>
      </c>
      <c r="R83" s="38">
        <v>0.0</v>
      </c>
      <c r="S83" s="38">
        <v>0.0</v>
      </c>
      <c r="T83" s="38">
        <v>0.0</v>
      </c>
      <c r="U83" s="38">
        <v>0.0</v>
      </c>
      <c r="V83" s="38">
        <v>0.0</v>
      </c>
      <c r="W83" s="38">
        <v>0.0</v>
      </c>
      <c r="X83" s="38">
        <v>0.0</v>
      </c>
      <c r="Y83" s="38">
        <v>0.0</v>
      </c>
      <c r="Z83" s="38">
        <v>0.0</v>
      </c>
      <c r="AA83" s="38">
        <v>0.0</v>
      </c>
      <c r="AB83" s="38">
        <v>0.0</v>
      </c>
      <c r="AC83" s="38">
        <v>0.0</v>
      </c>
      <c r="AD83" s="38">
        <v>0.0</v>
      </c>
      <c r="AE83" s="38">
        <v>0.0</v>
      </c>
      <c r="AF83" s="38"/>
      <c r="AG83" s="85"/>
      <c r="AH83" s="85"/>
      <c r="AI83" s="85"/>
      <c r="AJ83" s="20"/>
      <c r="AK83" s="20"/>
      <c r="AL83" s="20"/>
      <c r="AM83" s="20"/>
    </row>
    <row r="84">
      <c r="A84" s="49" t="s">
        <v>29</v>
      </c>
      <c r="B84" s="38">
        <v>0.0</v>
      </c>
      <c r="C84" s="38">
        <v>0.0</v>
      </c>
      <c r="D84" s="38">
        <v>0.0</v>
      </c>
      <c r="E84" s="38">
        <v>0.0</v>
      </c>
      <c r="F84" s="38">
        <v>0.0</v>
      </c>
      <c r="G84" s="38">
        <v>0.0</v>
      </c>
      <c r="H84" s="38">
        <v>0.0</v>
      </c>
      <c r="I84" s="38">
        <v>1.0</v>
      </c>
      <c r="J84" s="38">
        <v>0.0</v>
      </c>
      <c r="K84" s="38">
        <v>1.0</v>
      </c>
      <c r="L84" s="38">
        <v>1.0</v>
      </c>
      <c r="M84" s="38">
        <v>0.0</v>
      </c>
      <c r="N84" s="38">
        <v>0.0</v>
      </c>
      <c r="O84" s="38">
        <v>0.0</v>
      </c>
      <c r="P84" s="38">
        <v>0.0</v>
      </c>
      <c r="Q84" s="38">
        <v>0.0</v>
      </c>
      <c r="R84" s="38">
        <v>0.0</v>
      </c>
      <c r="S84" s="38"/>
      <c r="T84" s="38">
        <v>0.0</v>
      </c>
      <c r="U84" s="38">
        <v>0.0</v>
      </c>
      <c r="V84" s="38">
        <v>0.0</v>
      </c>
      <c r="W84" s="38"/>
      <c r="X84" s="38"/>
      <c r="Y84" s="38">
        <v>0.0</v>
      </c>
      <c r="Z84" s="38">
        <v>0.0</v>
      </c>
      <c r="AA84" s="38">
        <v>0.0</v>
      </c>
      <c r="AB84" s="38">
        <v>0.0</v>
      </c>
      <c r="AC84" s="38">
        <v>0.0</v>
      </c>
      <c r="AD84" s="38">
        <v>0.0</v>
      </c>
      <c r="AE84" s="38">
        <v>0.0</v>
      </c>
      <c r="AF84" s="38"/>
      <c r="AG84" s="51"/>
      <c r="AH84" s="51"/>
      <c r="AI84" s="51"/>
      <c r="AJ84" s="20"/>
      <c r="AK84" s="20"/>
      <c r="AL84" s="20"/>
      <c r="AM84" s="20"/>
    </row>
    <row r="85">
      <c r="A85" s="35" t="s">
        <v>30</v>
      </c>
      <c r="B85" s="39"/>
      <c r="C85" s="39"/>
      <c r="D85" s="39"/>
      <c r="E85" s="39"/>
      <c r="F85" s="39"/>
      <c r="G85" s="39"/>
      <c r="H85" s="39"/>
      <c r="I85" s="39"/>
      <c r="J85" s="39"/>
      <c r="K85" s="55"/>
      <c r="L85" s="55"/>
      <c r="M85" s="55"/>
      <c r="N85" s="55"/>
      <c r="O85" s="38"/>
      <c r="P85" s="55"/>
      <c r="Q85" s="55"/>
      <c r="R85" s="55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55"/>
      <c r="AD85" s="38"/>
      <c r="AE85" s="55"/>
      <c r="AF85" s="55"/>
      <c r="AG85" s="55"/>
      <c r="AH85" s="55"/>
      <c r="AI85" s="55"/>
      <c r="AJ85" s="40"/>
      <c r="AK85" s="40"/>
      <c r="AL85" s="40"/>
      <c r="AM85" s="40"/>
    </row>
    <row r="86">
      <c r="A86" s="24"/>
      <c r="B86" s="78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40"/>
      <c r="AK86" s="40"/>
      <c r="AL86" s="40"/>
      <c r="AM86" s="40"/>
    </row>
    <row r="87">
      <c r="A87" s="26" t="s">
        <v>83</v>
      </c>
      <c r="B87" s="27" t="s">
        <v>1</v>
      </c>
      <c r="C87" s="28" t="s">
        <v>2</v>
      </c>
      <c r="D87" s="28" t="s">
        <v>3</v>
      </c>
      <c r="E87" s="28" t="s">
        <v>4</v>
      </c>
      <c r="F87" s="92" t="s">
        <v>5</v>
      </c>
      <c r="G87" s="92" t="s">
        <v>6</v>
      </c>
      <c r="H87" s="28" t="s">
        <v>74</v>
      </c>
      <c r="I87" s="28" t="s">
        <v>62</v>
      </c>
      <c r="J87" s="29" t="s">
        <v>75</v>
      </c>
      <c r="K87" s="29" t="s">
        <v>76</v>
      </c>
      <c r="L87" s="28" t="s">
        <v>11</v>
      </c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20"/>
      <c r="AK87" s="20"/>
      <c r="AL87" s="20"/>
      <c r="AM87" s="20"/>
    </row>
    <row r="88">
      <c r="A88" s="7" t="s">
        <v>12</v>
      </c>
      <c r="B88" s="8">
        <v>80.0</v>
      </c>
      <c r="C88" s="9">
        <f>SUM(B99:AF99)</f>
        <v>87</v>
      </c>
      <c r="D88" s="93">
        <f t="shared" ref="D88:D90" si="27">C88/B88</f>
        <v>1.0875</v>
      </c>
      <c r="E88" s="19">
        <f>B88-C88</f>
        <v>-7</v>
      </c>
      <c r="F88" s="9">
        <f>C88/AJ62*AK62</f>
        <v>385.2857143</v>
      </c>
      <c r="G88" s="45">
        <f t="shared" ref="G88:G90" si="28">F88/B88</f>
        <v>4.816071429</v>
      </c>
      <c r="H88" s="9">
        <f>F88-B88</f>
        <v>305.2857143</v>
      </c>
      <c r="I88" s="12">
        <f>E88/(AK62-AJ62)</f>
        <v>-0.2916666667</v>
      </c>
      <c r="J88" s="12">
        <f>B88/AK57</f>
        <v>2.580645161</v>
      </c>
      <c r="K88" s="9">
        <f>C88/AJ57</f>
        <v>12.42857143</v>
      </c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20"/>
      <c r="AK88" s="20"/>
      <c r="AL88" s="20"/>
      <c r="AM88" s="20"/>
    </row>
    <row r="89">
      <c r="A89" s="7" t="s">
        <v>13</v>
      </c>
      <c r="B89" s="9">
        <f t="shared" ref="B89:C89" si="26">B90/B88</f>
        <v>1280</v>
      </c>
      <c r="C89" s="9">
        <f t="shared" si="26"/>
        <v>1157.942858</v>
      </c>
      <c r="D89" s="93">
        <f t="shared" si="27"/>
        <v>0.9046428581</v>
      </c>
      <c r="E89" s="78"/>
      <c r="F89" s="9">
        <f>F90/F88</f>
        <v>1157.942858</v>
      </c>
      <c r="G89" s="45">
        <f t="shared" si="28"/>
        <v>0.9046428581</v>
      </c>
      <c r="H89" s="9"/>
      <c r="I89" s="87"/>
      <c r="J89" s="79"/>
      <c r="K89" s="79"/>
      <c r="L89" s="79"/>
      <c r="M89" s="79"/>
      <c r="N89" s="79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18"/>
      <c r="AK89" s="18"/>
      <c r="AL89" s="18"/>
      <c r="AM89" s="18"/>
    </row>
    <row r="90">
      <c r="A90" s="7" t="s">
        <v>14</v>
      </c>
      <c r="B90" s="8">
        <v>102400.0</v>
      </c>
      <c r="C90" s="9">
        <f>SUM(A98:AF98)</f>
        <v>100741.0287</v>
      </c>
      <c r="D90" s="93">
        <f t="shared" si="27"/>
        <v>0.9837991082</v>
      </c>
      <c r="E90" s="78">
        <f>B90-C90</f>
        <v>1658.97132</v>
      </c>
      <c r="F90" s="9">
        <f>C90/AJ62*AK62</f>
        <v>446138.8413</v>
      </c>
      <c r="G90" s="45">
        <f t="shared" si="28"/>
        <v>4.356824622</v>
      </c>
      <c r="H90" s="9">
        <f>F90-B90</f>
        <v>343738.8413</v>
      </c>
      <c r="I90" s="87">
        <f>E90/(AK62-AJ62)</f>
        <v>69.123805</v>
      </c>
      <c r="J90" s="91">
        <f>B90/AK57</f>
        <v>3303.225806</v>
      </c>
      <c r="K90" s="84">
        <f>C90/AJ57</f>
        <v>14391.57553</v>
      </c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20"/>
      <c r="AK90" s="20"/>
      <c r="AL90" s="20"/>
      <c r="AM90" s="20"/>
    </row>
    <row r="91">
      <c r="A91" s="51"/>
      <c r="B91" s="78"/>
      <c r="C91" s="79"/>
      <c r="D91" s="79"/>
      <c r="E91" s="51"/>
      <c r="F91" s="51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20"/>
      <c r="AK91" s="20"/>
      <c r="AL91" s="20"/>
      <c r="AM91" s="20"/>
    </row>
    <row r="92">
      <c r="A92" s="51"/>
      <c r="B92" s="78"/>
      <c r="C92" s="79"/>
      <c r="D92" s="85"/>
      <c r="E92" s="79"/>
      <c r="F92" s="85"/>
      <c r="G92" s="85"/>
      <c r="H92" s="85"/>
      <c r="I92" s="85"/>
      <c r="J92" s="85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20"/>
      <c r="AK92" s="20"/>
      <c r="AL92" s="20"/>
      <c r="AM92" s="20"/>
    </row>
    <row r="93">
      <c r="A93" s="7"/>
      <c r="B93" s="78"/>
      <c r="C93" s="79"/>
      <c r="D93" s="85"/>
      <c r="E93" s="79"/>
      <c r="F93" s="85"/>
      <c r="G93" s="85"/>
      <c r="H93" s="85"/>
      <c r="I93" s="85"/>
      <c r="J93" s="85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79"/>
      <c r="AD93" s="79"/>
      <c r="AE93" s="79"/>
      <c r="AF93" s="79"/>
      <c r="AG93" s="79"/>
      <c r="AH93" s="79"/>
      <c r="AI93" s="79"/>
      <c r="AJ93" s="20"/>
      <c r="AK93" s="20"/>
      <c r="AL93" s="20"/>
      <c r="AM93" s="20"/>
    </row>
    <row r="94">
      <c r="A94" s="7"/>
      <c r="B94" s="78"/>
      <c r="C94" s="85"/>
      <c r="D94" s="85"/>
      <c r="E94" s="85"/>
      <c r="F94" s="85"/>
      <c r="G94" s="85"/>
      <c r="H94" s="85"/>
      <c r="I94" s="85"/>
      <c r="J94" s="85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79"/>
      <c r="AD94" s="79"/>
      <c r="AE94" s="79"/>
      <c r="AF94" s="79"/>
      <c r="AG94" s="79"/>
      <c r="AH94" s="79"/>
      <c r="AI94" s="79"/>
      <c r="AJ94" s="20"/>
      <c r="AK94" s="20"/>
      <c r="AL94" s="20"/>
      <c r="AM94" s="20"/>
    </row>
    <row r="95">
      <c r="A95" s="7"/>
      <c r="B95" s="78"/>
      <c r="C95" s="85"/>
      <c r="D95" s="85"/>
      <c r="E95" s="85"/>
      <c r="F95" s="85"/>
      <c r="G95" s="85"/>
      <c r="H95" s="85"/>
      <c r="I95" s="85"/>
      <c r="J95" s="85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79"/>
      <c r="AD95" s="79"/>
      <c r="AE95" s="79"/>
      <c r="AF95" s="79"/>
      <c r="AG95" s="79"/>
      <c r="AH95" s="79"/>
      <c r="AI95" s="79"/>
      <c r="AJ95" s="20"/>
      <c r="AK95" s="20"/>
      <c r="AL95" s="20"/>
      <c r="AM95" s="20"/>
    </row>
    <row r="96">
      <c r="A96" s="33" t="s">
        <v>84</v>
      </c>
      <c r="B96" s="34" t="s">
        <v>25</v>
      </c>
      <c r="C96" s="34" t="s">
        <v>26</v>
      </c>
      <c r="D96" s="34" t="s">
        <v>20</v>
      </c>
      <c r="E96" s="34" t="s">
        <v>21</v>
      </c>
      <c r="F96" s="34" t="s">
        <v>22</v>
      </c>
      <c r="G96" s="34" t="s">
        <v>23</v>
      </c>
      <c r="H96" s="34" t="s">
        <v>24</v>
      </c>
      <c r="I96" s="34" t="s">
        <v>25</v>
      </c>
      <c r="J96" s="34" t="s">
        <v>26</v>
      </c>
      <c r="K96" s="34" t="s">
        <v>20</v>
      </c>
      <c r="L96" s="34" t="s">
        <v>21</v>
      </c>
      <c r="M96" s="34" t="s">
        <v>22</v>
      </c>
      <c r="N96" s="34" t="s">
        <v>23</v>
      </c>
      <c r="O96" s="34" t="s">
        <v>24</v>
      </c>
      <c r="P96" s="34" t="s">
        <v>25</v>
      </c>
      <c r="Q96" s="34" t="s">
        <v>26</v>
      </c>
      <c r="R96" s="34" t="s">
        <v>20</v>
      </c>
      <c r="S96" s="34" t="s">
        <v>21</v>
      </c>
      <c r="T96" s="34" t="s">
        <v>22</v>
      </c>
      <c r="U96" s="34" t="s">
        <v>23</v>
      </c>
      <c r="V96" s="34" t="s">
        <v>24</v>
      </c>
      <c r="W96" s="34" t="s">
        <v>25</v>
      </c>
      <c r="X96" s="34" t="s">
        <v>26</v>
      </c>
      <c r="Y96" s="34" t="s">
        <v>20</v>
      </c>
      <c r="Z96" s="34" t="s">
        <v>21</v>
      </c>
      <c r="AA96" s="34" t="s">
        <v>22</v>
      </c>
      <c r="AB96" s="34" t="s">
        <v>23</v>
      </c>
      <c r="AC96" s="34" t="s">
        <v>24</v>
      </c>
      <c r="AD96" s="34" t="s">
        <v>25</v>
      </c>
      <c r="AE96" s="34" t="s">
        <v>26</v>
      </c>
      <c r="AF96" s="34"/>
      <c r="AJ96" s="20"/>
      <c r="AK96" s="20"/>
      <c r="AL96" s="20"/>
      <c r="AM96" s="20"/>
    </row>
    <row r="97">
      <c r="A97" s="72" t="s">
        <v>69</v>
      </c>
      <c r="B97" s="48">
        <v>44501.0</v>
      </c>
      <c r="C97" s="48">
        <v>44502.0</v>
      </c>
      <c r="D97" s="48">
        <v>44503.0</v>
      </c>
      <c r="E97" s="48">
        <v>44504.0</v>
      </c>
      <c r="F97" s="48">
        <v>44505.0</v>
      </c>
      <c r="G97" s="48">
        <v>44506.0</v>
      </c>
      <c r="H97" s="48">
        <v>44507.0</v>
      </c>
      <c r="I97" s="48">
        <v>44508.0</v>
      </c>
      <c r="J97" s="48">
        <v>44509.0</v>
      </c>
      <c r="K97" s="48">
        <v>44510.0</v>
      </c>
      <c r="L97" s="48">
        <v>44511.0</v>
      </c>
      <c r="M97" s="48">
        <v>44512.0</v>
      </c>
      <c r="N97" s="48">
        <v>44513.0</v>
      </c>
      <c r="O97" s="48">
        <v>44514.0</v>
      </c>
      <c r="P97" s="48">
        <v>44515.0</v>
      </c>
      <c r="Q97" s="48">
        <v>44516.0</v>
      </c>
      <c r="R97" s="48">
        <v>44517.0</v>
      </c>
      <c r="S97" s="48">
        <v>44518.0</v>
      </c>
      <c r="T97" s="48">
        <v>44519.0</v>
      </c>
      <c r="U97" s="48">
        <v>44520.0</v>
      </c>
      <c r="V97" s="48">
        <v>44521.0</v>
      </c>
      <c r="W97" s="48">
        <v>44522.0</v>
      </c>
      <c r="X97" s="48">
        <v>44523.0</v>
      </c>
      <c r="Y97" s="48">
        <v>44524.0</v>
      </c>
      <c r="Z97" s="48">
        <v>44525.0</v>
      </c>
      <c r="AA97" s="48">
        <v>44526.0</v>
      </c>
      <c r="AB97" s="48">
        <v>44527.0</v>
      </c>
      <c r="AC97" s="48">
        <v>44528.0</v>
      </c>
      <c r="AD97" s="48">
        <v>44529.0</v>
      </c>
      <c r="AE97" s="48">
        <v>44530.0</v>
      </c>
      <c r="AF97" s="48"/>
      <c r="AJ97" s="18"/>
      <c r="AK97" s="18"/>
      <c r="AL97" s="18"/>
      <c r="AM97" s="18"/>
    </row>
    <row r="98">
      <c r="A98" s="49" t="s">
        <v>28</v>
      </c>
      <c r="B98" s="38">
        <f>1.004*2719.37</f>
        <v>2730.24748</v>
      </c>
      <c r="C98" s="38">
        <f>1.004*2641.99</f>
        <v>2652.55796</v>
      </c>
      <c r="D98" s="38">
        <f>1.004*2168</f>
        <v>2176.672</v>
      </c>
      <c r="E98" s="38">
        <f>1.004*2257.91</f>
        <v>2266.94164</v>
      </c>
      <c r="F98" s="38">
        <f>1.004*2489.48
</f>
        <v>2499.43792</v>
      </c>
      <c r="G98" s="38">
        <f>1.004*3223.67</f>
        <v>3236.56468</v>
      </c>
      <c r="H98" s="38">
        <f>1.004*2857.36</f>
        <v>2868.78944</v>
      </c>
      <c r="I98" s="38">
        <f>1.004*3225.88</f>
        <v>3238.78352</v>
      </c>
      <c r="J98" s="38">
        <f>1.004*3838.72
</f>
        <v>3854.07488</v>
      </c>
      <c r="K98" s="38">
        <f>1.004*3883.19</f>
        <v>3898.72276</v>
      </c>
      <c r="L98" s="38">
        <f>1.004*4136.62</f>
        <v>4153.16648</v>
      </c>
      <c r="M98" s="38">
        <f>1.004*4097.16
</f>
        <v>4113.54864</v>
      </c>
      <c r="N98" s="38">
        <f>1.004*3689.02</f>
        <v>3703.77608</v>
      </c>
      <c r="O98" s="38">
        <f>1.004*3777.44
</f>
        <v>3792.54976</v>
      </c>
      <c r="P98" s="38">
        <f>1.004*3517.09</f>
        <v>3531.15836</v>
      </c>
      <c r="Q98" s="38">
        <f>1.004*4670.34</f>
        <v>4689.02136</v>
      </c>
      <c r="R98" s="38">
        <f>1.004*2765.08</f>
        <v>2776.14032</v>
      </c>
      <c r="S98" s="38">
        <f>1.004*4734.65
</f>
        <v>4753.5886</v>
      </c>
      <c r="T98" s="39">
        <f>1.004*2358.24</f>
        <v>2367.67296</v>
      </c>
      <c r="U98" s="39">
        <f>1.004*3108.77</f>
        <v>3121.20508</v>
      </c>
      <c r="V98" s="39">
        <f>1.004*3435.38
</f>
        <v>3449.12152</v>
      </c>
      <c r="W98" s="39">
        <f>1.004*3255.72
</f>
        <v>3268.74288</v>
      </c>
      <c r="X98" s="38">
        <f>1.004*2849.44
</f>
        <v>2860.83776</v>
      </c>
      <c r="Y98" s="38">
        <f>1.004*3011.7</f>
        <v>3023.7468</v>
      </c>
      <c r="Z98" s="38">
        <f>1.004*2537.54</f>
        <v>2547.69016</v>
      </c>
      <c r="AA98" s="38">
        <f>1.004*2697.67</f>
        <v>2708.46068</v>
      </c>
      <c r="AB98" s="38">
        <f>1.004*4177.42</f>
        <v>4194.12968</v>
      </c>
      <c r="AC98" s="38">
        <f>1.004*4668.72</f>
        <v>4687.39488</v>
      </c>
      <c r="AD98" s="38">
        <f>1.004*5232.2
</f>
        <v>5253.1288</v>
      </c>
      <c r="AE98" s="38">
        <f>1.004*2313.9</f>
        <v>2323.1556</v>
      </c>
      <c r="AF98" s="38"/>
      <c r="AJ98" s="20"/>
      <c r="AK98" s="20"/>
      <c r="AL98" s="20"/>
      <c r="AM98" s="20"/>
    </row>
    <row r="99">
      <c r="A99" s="49" t="s">
        <v>29</v>
      </c>
      <c r="B99" s="38">
        <v>2.0</v>
      </c>
      <c r="C99" s="38">
        <v>1.0</v>
      </c>
      <c r="D99" s="38">
        <v>1.0</v>
      </c>
      <c r="E99" s="38">
        <v>2.0</v>
      </c>
      <c r="F99" s="38">
        <v>4.0</v>
      </c>
      <c r="G99" s="38">
        <v>2.0</v>
      </c>
      <c r="H99" s="38">
        <v>2.0</v>
      </c>
      <c r="I99" s="38">
        <v>1.0</v>
      </c>
      <c r="J99" s="38">
        <v>7.0</v>
      </c>
      <c r="K99" s="38">
        <v>5.0</v>
      </c>
      <c r="L99" s="38">
        <v>2.0</v>
      </c>
      <c r="M99" s="38">
        <v>1.0</v>
      </c>
      <c r="N99" s="38">
        <v>8.0</v>
      </c>
      <c r="O99" s="38">
        <v>4.0</v>
      </c>
      <c r="P99" s="38">
        <v>5.0</v>
      </c>
      <c r="Q99" s="38">
        <v>4.0</v>
      </c>
      <c r="R99" s="38">
        <v>1.0</v>
      </c>
      <c r="S99" s="38">
        <v>3.0</v>
      </c>
      <c r="T99" s="38">
        <v>4.0</v>
      </c>
      <c r="U99" s="38">
        <v>0.0</v>
      </c>
      <c r="V99" s="38">
        <v>4.0</v>
      </c>
      <c r="W99" s="38">
        <v>1.0</v>
      </c>
      <c r="X99" s="38">
        <v>4.0</v>
      </c>
      <c r="Y99" s="38">
        <v>2.0</v>
      </c>
      <c r="Z99" s="38">
        <v>3.0</v>
      </c>
      <c r="AA99" s="38">
        <v>2.0</v>
      </c>
      <c r="AB99" s="38">
        <v>1.0</v>
      </c>
      <c r="AC99" s="38">
        <v>2.0</v>
      </c>
      <c r="AD99" s="38">
        <v>7.0</v>
      </c>
      <c r="AE99" s="38">
        <v>2.0</v>
      </c>
      <c r="AF99" s="38"/>
      <c r="AJ99" s="20"/>
      <c r="AK99" s="20"/>
      <c r="AL99" s="20"/>
      <c r="AM99" s="20"/>
    </row>
    <row r="100">
      <c r="A100" s="35" t="s">
        <v>30</v>
      </c>
      <c r="B100" s="39">
        <f t="shared" ref="B100:AE100" si="29">B98/B99</f>
        <v>1365.12374</v>
      </c>
      <c r="C100" s="39">
        <f t="shared" si="29"/>
        <v>2652.55796</v>
      </c>
      <c r="D100" s="39">
        <f t="shared" si="29"/>
        <v>2176.672</v>
      </c>
      <c r="E100" s="39">
        <f t="shared" si="29"/>
        <v>1133.47082</v>
      </c>
      <c r="F100" s="39">
        <f t="shared" si="29"/>
        <v>624.85948</v>
      </c>
      <c r="G100" s="39">
        <f t="shared" si="29"/>
        <v>1618.28234</v>
      </c>
      <c r="H100" s="39">
        <f t="shared" si="29"/>
        <v>1434.39472</v>
      </c>
      <c r="I100" s="39">
        <f t="shared" si="29"/>
        <v>3238.78352</v>
      </c>
      <c r="J100" s="39">
        <f t="shared" si="29"/>
        <v>550.5821257</v>
      </c>
      <c r="K100" s="39">
        <f t="shared" si="29"/>
        <v>779.744552</v>
      </c>
      <c r="L100" s="39">
        <f t="shared" si="29"/>
        <v>2076.58324</v>
      </c>
      <c r="M100" s="39">
        <f t="shared" si="29"/>
        <v>4113.54864</v>
      </c>
      <c r="N100" s="39">
        <f t="shared" si="29"/>
        <v>462.97201</v>
      </c>
      <c r="O100" s="39">
        <f t="shared" si="29"/>
        <v>948.13744</v>
      </c>
      <c r="P100" s="39">
        <f t="shared" si="29"/>
        <v>706.231672</v>
      </c>
      <c r="Q100" s="39">
        <f t="shared" si="29"/>
        <v>1172.25534</v>
      </c>
      <c r="R100" s="39">
        <f t="shared" si="29"/>
        <v>2776.14032</v>
      </c>
      <c r="S100" s="39">
        <f t="shared" si="29"/>
        <v>1584.529533</v>
      </c>
      <c r="T100" s="39">
        <f t="shared" si="29"/>
        <v>591.91824</v>
      </c>
      <c r="U100" s="39" t="str">
        <f t="shared" si="29"/>
        <v>#DIV/0!</v>
      </c>
      <c r="V100" s="39">
        <f t="shared" si="29"/>
        <v>862.28038</v>
      </c>
      <c r="W100" s="39">
        <f t="shared" si="29"/>
        <v>3268.74288</v>
      </c>
      <c r="X100" s="39">
        <f t="shared" si="29"/>
        <v>715.20944</v>
      </c>
      <c r="Y100" s="39">
        <f t="shared" si="29"/>
        <v>1511.8734</v>
      </c>
      <c r="Z100" s="39">
        <f t="shared" si="29"/>
        <v>849.2300533</v>
      </c>
      <c r="AA100" s="39">
        <f t="shared" si="29"/>
        <v>1354.23034</v>
      </c>
      <c r="AB100" s="39">
        <f t="shared" si="29"/>
        <v>4194.12968</v>
      </c>
      <c r="AC100" s="39">
        <f t="shared" si="29"/>
        <v>2343.69744</v>
      </c>
      <c r="AD100" s="39">
        <f t="shared" si="29"/>
        <v>750.4469714</v>
      </c>
      <c r="AE100" s="39">
        <f t="shared" si="29"/>
        <v>1161.5778</v>
      </c>
      <c r="AF100" s="38"/>
      <c r="AJ100" s="40"/>
      <c r="AK100" s="40"/>
      <c r="AL100" s="40"/>
      <c r="AM100" s="40"/>
    </row>
    <row r="101">
      <c r="A101" s="94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7"/>
      <c r="AH101" s="97"/>
      <c r="AI101" s="97"/>
      <c r="AJ101" s="44"/>
      <c r="AK101" s="44"/>
      <c r="AL101" s="44"/>
      <c r="AM101" s="44"/>
    </row>
    <row r="102">
      <c r="A102" s="94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7"/>
      <c r="AH102" s="97"/>
      <c r="AI102" s="97"/>
      <c r="AJ102" s="44"/>
      <c r="AK102" s="44"/>
      <c r="AL102" s="44"/>
      <c r="AM102" s="44"/>
    </row>
    <row r="103">
      <c r="A103" s="74" t="s">
        <v>85</v>
      </c>
      <c r="B103" s="2" t="s">
        <v>1</v>
      </c>
      <c r="C103" s="3" t="s">
        <v>2</v>
      </c>
      <c r="D103" s="3" t="s">
        <v>3</v>
      </c>
      <c r="E103" s="3" t="s">
        <v>4</v>
      </c>
      <c r="F103" s="75" t="s">
        <v>5</v>
      </c>
      <c r="G103" s="75" t="s">
        <v>61</v>
      </c>
      <c r="H103" s="3" t="s">
        <v>7</v>
      </c>
      <c r="I103" s="75" t="s">
        <v>62</v>
      </c>
      <c r="J103" s="75" t="s">
        <v>63</v>
      </c>
      <c r="K103" s="75" t="s">
        <v>10</v>
      </c>
      <c r="L103" s="3" t="s">
        <v>64</v>
      </c>
      <c r="M103" s="76"/>
      <c r="N103" s="76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0"/>
      <c r="AK103" s="20"/>
      <c r="AL103" s="20"/>
      <c r="AM103" s="20"/>
    </row>
    <row r="104">
      <c r="A104" s="7" t="s">
        <v>12</v>
      </c>
      <c r="B104" s="9">
        <f t="shared" ref="B104:C104" si="30">B109+B122+B135</f>
        <v>175</v>
      </c>
      <c r="C104" s="9">
        <f t="shared" si="30"/>
        <v>79</v>
      </c>
      <c r="D104" s="10">
        <f t="shared" ref="D104:D106" si="32">C104/B104</f>
        <v>0.4514285714</v>
      </c>
      <c r="E104" s="9">
        <f t="shared" ref="E104:E106" si="33">B104-C104</f>
        <v>96</v>
      </c>
      <c r="F104" s="9"/>
      <c r="G104" s="45"/>
      <c r="H104" s="9"/>
      <c r="I104" s="9">
        <f>E104/(AK104-AJ104)</f>
        <v>4</v>
      </c>
      <c r="J104" s="9">
        <f>B104/AK104</f>
        <v>5.64516129</v>
      </c>
      <c r="K104" s="9">
        <f>C104/AJ104</f>
        <v>11.28571429</v>
      </c>
      <c r="L104" s="78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14">
        <f>AK105</f>
        <v>7</v>
      </c>
      <c r="AK104" s="14" t="str">
        <f>AM104</f>
        <v>31</v>
      </c>
      <c r="AL104" s="15">
        <f>DATE(YEAR(TODAY()),MONTH(TODAY())+1,1)-1</f>
        <v>44561</v>
      </c>
      <c r="AM104" s="14" t="str">
        <f>LEFT(AL104, 2)</f>
        <v>31</v>
      </c>
    </row>
    <row r="105">
      <c r="A105" s="7" t="s">
        <v>13</v>
      </c>
      <c r="B105" s="9">
        <f t="shared" ref="B105:C105" si="31">B106/B104</f>
        <v>1120</v>
      </c>
      <c r="C105" s="9">
        <f t="shared" si="31"/>
        <v>1031.54277</v>
      </c>
      <c r="D105" s="10">
        <f t="shared" si="32"/>
        <v>0.9210203305</v>
      </c>
      <c r="E105" s="9">
        <f t="shared" si="33"/>
        <v>88.45722987</v>
      </c>
      <c r="F105" s="9"/>
      <c r="G105" s="45"/>
      <c r="H105" s="9"/>
      <c r="I105" s="9"/>
      <c r="J105" s="9"/>
      <c r="L105" s="78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17">
        <f>TODAY()</f>
        <v>44538</v>
      </c>
      <c r="AK105" s="14">
        <f>LEFT(AJ105, 2)-1</f>
        <v>7</v>
      </c>
      <c r="AL105" s="18"/>
      <c r="AM105" s="18"/>
    </row>
    <row r="106">
      <c r="A106" s="7" t="s">
        <v>65</v>
      </c>
      <c r="B106" s="9">
        <f t="shared" ref="B106:C106" si="34">B111+B137</f>
        <v>196000</v>
      </c>
      <c r="C106" s="19">
        <f t="shared" si="34"/>
        <v>81491.87884</v>
      </c>
      <c r="D106" s="10">
        <f t="shared" si="32"/>
        <v>0.415774892</v>
      </c>
      <c r="E106" s="9">
        <f t="shared" si="33"/>
        <v>114508.1212</v>
      </c>
      <c r="F106" s="9"/>
      <c r="G106" s="45"/>
      <c r="H106" s="9"/>
      <c r="I106" s="9">
        <f>E106/(AK104-AJ104)</f>
        <v>4771.171715</v>
      </c>
      <c r="J106" s="9">
        <f>B106/AK104</f>
        <v>6322.580645</v>
      </c>
      <c r="K106" s="9">
        <f>C106/AJ104</f>
        <v>11641.69698</v>
      </c>
      <c r="L106" s="78">
        <f>I106/1.2/1.004</f>
        <v>3960.135886</v>
      </c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20"/>
      <c r="AK106" s="20"/>
      <c r="AL106" s="20"/>
      <c r="AM106" s="20"/>
    </row>
    <row r="107">
      <c r="A107" s="25" t="s">
        <v>66</v>
      </c>
      <c r="B107" s="22"/>
      <c r="C107" s="23"/>
      <c r="D107" s="23"/>
      <c r="E107" s="23"/>
      <c r="F107" s="23"/>
      <c r="G107" s="23"/>
      <c r="H107" s="23"/>
      <c r="I107" s="23"/>
      <c r="J107" s="23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0"/>
      <c r="AK107" s="20"/>
      <c r="AL107" s="20"/>
      <c r="AM107" s="20"/>
    </row>
    <row r="108">
      <c r="A108" s="26" t="s">
        <v>86</v>
      </c>
      <c r="B108" s="27" t="s">
        <v>1</v>
      </c>
      <c r="C108" s="28" t="s">
        <v>2</v>
      </c>
      <c r="D108" s="28" t="s">
        <v>3</v>
      </c>
      <c r="E108" s="28" t="s">
        <v>4</v>
      </c>
      <c r="F108" s="29" t="s">
        <v>5</v>
      </c>
      <c r="G108" s="29" t="s">
        <v>6</v>
      </c>
      <c r="H108" s="28" t="s">
        <v>7</v>
      </c>
      <c r="I108" s="28" t="s">
        <v>62</v>
      </c>
      <c r="J108" s="29" t="s">
        <v>9</v>
      </c>
      <c r="K108" s="29" t="s">
        <v>10</v>
      </c>
      <c r="L108" s="28" t="s">
        <v>11</v>
      </c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20"/>
      <c r="AK108" s="20"/>
      <c r="AL108" s="20"/>
      <c r="AM108" s="20"/>
    </row>
    <row r="109">
      <c r="A109" s="7" t="s">
        <v>12</v>
      </c>
      <c r="B109" s="77">
        <v>100.0</v>
      </c>
      <c r="C109" s="80">
        <f>SUM(B118:AF118)</f>
        <v>0</v>
      </c>
      <c r="D109" s="10">
        <f t="shared" ref="D109:D111" si="36">C109/B109</f>
        <v>0</v>
      </c>
      <c r="E109" s="19">
        <f>B109-C109</f>
        <v>100</v>
      </c>
      <c r="F109" s="9"/>
      <c r="G109" s="81"/>
      <c r="H109" s="9"/>
      <c r="I109" s="12">
        <f>E109/(AK109-AJ109)</f>
        <v>4.166666667</v>
      </c>
      <c r="J109" s="12">
        <f>B109/AK109</f>
        <v>3.225806452</v>
      </c>
      <c r="K109" s="9">
        <f>C109/AJ104</f>
        <v>0</v>
      </c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14">
        <f>AK110</f>
        <v>7</v>
      </c>
      <c r="AK109" s="14" t="str">
        <f>AM109</f>
        <v>31</v>
      </c>
      <c r="AL109" s="15">
        <f>DATE(YEAR(TODAY()),MONTH(TODAY())+1,1)-1</f>
        <v>44561</v>
      </c>
      <c r="AM109" s="14" t="str">
        <f>LEFT(AL109, 2)</f>
        <v>31</v>
      </c>
    </row>
    <row r="110">
      <c r="A110" s="7" t="s">
        <v>13</v>
      </c>
      <c r="B110" s="80">
        <f t="shared" ref="B110:C110" si="35">B111/B109</f>
        <v>1000</v>
      </c>
      <c r="C110" s="80" t="str">
        <f t="shared" si="35"/>
        <v>#DIV/0!</v>
      </c>
      <c r="D110" s="10" t="str">
        <f t="shared" si="36"/>
        <v>#DIV/0!</v>
      </c>
      <c r="E110" s="78"/>
      <c r="F110" s="9"/>
      <c r="G110" s="81"/>
      <c r="H110" s="16"/>
      <c r="I110" s="12"/>
      <c r="J110" s="12"/>
      <c r="K110" s="83"/>
      <c r="L110" s="79"/>
      <c r="M110" s="79"/>
      <c r="N110" s="79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17">
        <f>TODAY()</f>
        <v>44538</v>
      </c>
      <c r="AK110" s="14">
        <f>LEFT(AJ110, 2)-1</f>
        <v>7</v>
      </c>
      <c r="AL110" s="18"/>
      <c r="AM110" s="18"/>
    </row>
    <row r="111">
      <c r="A111" s="7" t="s">
        <v>14</v>
      </c>
      <c r="B111" s="77">
        <v>100000.0</v>
      </c>
      <c r="C111" s="80">
        <f>SUM(B117:AF117)</f>
        <v>0</v>
      </c>
      <c r="D111" s="10">
        <f t="shared" si="36"/>
        <v>0</v>
      </c>
      <c r="E111" s="9">
        <f>B111-C111</f>
        <v>100000</v>
      </c>
      <c r="F111" s="9"/>
      <c r="G111" s="81"/>
      <c r="H111" s="9"/>
      <c r="I111" s="12">
        <f>E111/(AK109-AJ109)</f>
        <v>4166.666667</v>
      </c>
      <c r="J111" s="12">
        <f>B111/AK109</f>
        <v>3225.806452</v>
      </c>
      <c r="K111" s="12">
        <f>C111/AJ104</f>
        <v>0</v>
      </c>
      <c r="L111" s="84">
        <f>I111/1.2/1.004</f>
        <v>3458.388668</v>
      </c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20"/>
      <c r="AK111" s="20"/>
      <c r="AL111" s="20"/>
      <c r="AM111" s="20"/>
    </row>
    <row r="112">
      <c r="A112" s="51"/>
      <c r="B112" s="78"/>
      <c r="C112" s="79"/>
      <c r="D112" s="79"/>
      <c r="E112" s="51"/>
      <c r="F112" s="51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20"/>
      <c r="AK112" s="20"/>
      <c r="AL112" s="20"/>
      <c r="AM112" s="20"/>
    </row>
    <row r="113">
      <c r="A113" s="51"/>
      <c r="B113" s="78"/>
      <c r="C113" s="79"/>
      <c r="D113" s="85"/>
      <c r="E113" s="79"/>
      <c r="F113" s="85"/>
      <c r="G113" s="85"/>
      <c r="H113" s="85"/>
      <c r="I113" s="85"/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20"/>
      <c r="AK113" s="20"/>
      <c r="AL113" s="20"/>
      <c r="AM113" s="20"/>
    </row>
    <row r="114">
      <c r="A114" s="51"/>
      <c r="B114" s="78"/>
      <c r="C114" s="79"/>
      <c r="D114" s="85"/>
      <c r="E114" s="79"/>
      <c r="F114" s="85"/>
      <c r="G114" s="85"/>
      <c r="H114" s="85"/>
      <c r="I114" s="85"/>
      <c r="J114" s="85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79"/>
      <c r="AD114" s="79"/>
      <c r="AE114" s="79"/>
      <c r="AF114" s="79"/>
      <c r="AG114" s="79"/>
      <c r="AH114" s="79"/>
      <c r="AI114" s="79"/>
      <c r="AJ114" s="20"/>
      <c r="AK114" s="20"/>
      <c r="AL114" s="20"/>
      <c r="AM114" s="20"/>
    </row>
    <row r="115">
      <c r="A115" s="33" t="s">
        <v>87</v>
      </c>
      <c r="B115" s="34" t="s">
        <v>25</v>
      </c>
      <c r="C115" s="34" t="s">
        <v>26</v>
      </c>
      <c r="D115" s="34" t="s">
        <v>20</v>
      </c>
      <c r="E115" s="34" t="s">
        <v>21</v>
      </c>
      <c r="F115" s="34" t="s">
        <v>22</v>
      </c>
      <c r="G115" s="34" t="s">
        <v>23</v>
      </c>
      <c r="H115" s="34" t="s">
        <v>24</v>
      </c>
      <c r="I115" s="34" t="s">
        <v>25</v>
      </c>
      <c r="J115" s="34" t="s">
        <v>26</v>
      </c>
      <c r="K115" s="34" t="s">
        <v>20</v>
      </c>
      <c r="L115" s="34" t="s">
        <v>21</v>
      </c>
      <c r="M115" s="34" t="s">
        <v>22</v>
      </c>
      <c r="N115" s="34" t="s">
        <v>23</v>
      </c>
      <c r="O115" s="34" t="s">
        <v>24</v>
      </c>
      <c r="P115" s="34" t="s">
        <v>25</v>
      </c>
      <c r="Q115" s="34" t="s">
        <v>26</v>
      </c>
      <c r="R115" s="34" t="s">
        <v>20</v>
      </c>
      <c r="S115" s="34" t="s">
        <v>21</v>
      </c>
      <c r="T115" s="34" t="s">
        <v>22</v>
      </c>
      <c r="U115" s="34" t="s">
        <v>23</v>
      </c>
      <c r="V115" s="34" t="s">
        <v>24</v>
      </c>
      <c r="W115" s="34" t="s">
        <v>25</v>
      </c>
      <c r="X115" s="34" t="s">
        <v>26</v>
      </c>
      <c r="Y115" s="34" t="s">
        <v>20</v>
      </c>
      <c r="Z115" s="34" t="s">
        <v>21</v>
      </c>
      <c r="AA115" s="34" t="s">
        <v>22</v>
      </c>
      <c r="AB115" s="34" t="s">
        <v>23</v>
      </c>
      <c r="AC115" s="34" t="s">
        <v>24</v>
      </c>
      <c r="AD115" s="34" t="s">
        <v>25</v>
      </c>
      <c r="AE115" s="34" t="s">
        <v>26</v>
      </c>
      <c r="AF115" s="34"/>
      <c r="AG115" s="30"/>
      <c r="AH115" s="30"/>
      <c r="AI115" s="30"/>
      <c r="AJ115" s="20"/>
      <c r="AK115" s="20"/>
      <c r="AL115" s="20"/>
      <c r="AM115" s="20"/>
    </row>
    <row r="116">
      <c r="A116" s="72" t="s">
        <v>69</v>
      </c>
      <c r="B116" s="48">
        <v>44501.0</v>
      </c>
      <c r="C116" s="48">
        <v>44502.0</v>
      </c>
      <c r="D116" s="48">
        <v>44503.0</v>
      </c>
      <c r="E116" s="48">
        <v>44504.0</v>
      </c>
      <c r="F116" s="48">
        <v>44505.0</v>
      </c>
      <c r="G116" s="48">
        <v>44506.0</v>
      </c>
      <c r="H116" s="48">
        <v>44507.0</v>
      </c>
      <c r="I116" s="48">
        <v>44508.0</v>
      </c>
      <c r="J116" s="48">
        <v>44509.0</v>
      </c>
      <c r="K116" s="48">
        <v>44510.0</v>
      </c>
      <c r="L116" s="48">
        <v>44511.0</v>
      </c>
      <c r="M116" s="48">
        <v>44512.0</v>
      </c>
      <c r="N116" s="48">
        <v>44513.0</v>
      </c>
      <c r="O116" s="48">
        <v>44514.0</v>
      </c>
      <c r="P116" s="48">
        <v>44515.0</v>
      </c>
      <c r="Q116" s="48">
        <v>44516.0</v>
      </c>
      <c r="R116" s="48">
        <v>44517.0</v>
      </c>
      <c r="S116" s="48">
        <v>44518.0</v>
      </c>
      <c r="T116" s="48">
        <v>44519.0</v>
      </c>
      <c r="U116" s="48">
        <v>44520.0</v>
      </c>
      <c r="V116" s="48">
        <v>44521.0</v>
      </c>
      <c r="W116" s="48">
        <v>44522.0</v>
      </c>
      <c r="X116" s="48">
        <v>44523.0</v>
      </c>
      <c r="Y116" s="48">
        <v>44524.0</v>
      </c>
      <c r="Z116" s="48">
        <v>44525.0</v>
      </c>
      <c r="AA116" s="48">
        <v>44526.0</v>
      </c>
      <c r="AB116" s="48">
        <v>44527.0</v>
      </c>
      <c r="AC116" s="48">
        <v>44528.0</v>
      </c>
      <c r="AD116" s="48">
        <v>44529.0</v>
      </c>
      <c r="AE116" s="48">
        <v>44530.0</v>
      </c>
      <c r="AF116" s="48"/>
      <c r="AG116" s="86"/>
      <c r="AH116" s="86"/>
      <c r="AI116" s="86"/>
      <c r="AJ116" s="18"/>
      <c r="AK116" s="18"/>
      <c r="AL116" s="18"/>
      <c r="AM116" s="18"/>
    </row>
    <row r="117">
      <c r="A117" s="49" t="s">
        <v>28</v>
      </c>
      <c r="B117" s="38">
        <v>0.0</v>
      </c>
      <c r="C117" s="38">
        <v>0.0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8"/>
      <c r="AE117" s="39"/>
      <c r="AF117" s="39"/>
      <c r="AG117" s="87"/>
      <c r="AH117" s="87"/>
      <c r="AI117" s="87"/>
      <c r="AJ117" s="87"/>
      <c r="AK117" s="87"/>
      <c r="AL117" s="87"/>
      <c r="AM117" s="87"/>
    </row>
    <row r="118">
      <c r="A118" s="49" t="s">
        <v>29</v>
      </c>
      <c r="B118" s="38">
        <v>0.0</v>
      </c>
      <c r="C118" s="38">
        <v>0.0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51"/>
      <c r="AH118" s="51"/>
      <c r="AI118" s="51"/>
      <c r="AJ118" s="20"/>
      <c r="AK118" s="20"/>
      <c r="AL118" s="20"/>
      <c r="AM118" s="20"/>
    </row>
    <row r="119">
      <c r="A119" s="35" t="s">
        <v>30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8"/>
      <c r="AG119" s="87"/>
      <c r="AH119" s="87"/>
      <c r="AI119" s="87"/>
      <c r="AJ119" s="87"/>
      <c r="AK119" s="87"/>
      <c r="AL119" s="87"/>
      <c r="AM119" s="87"/>
    </row>
    <row r="120">
      <c r="A120" s="24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87"/>
      <c r="N120" s="87"/>
      <c r="O120" s="78"/>
      <c r="P120" s="78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40"/>
      <c r="AK120" s="40"/>
      <c r="AL120" s="40"/>
      <c r="AM120" s="40"/>
    </row>
    <row r="121">
      <c r="A121" s="26" t="s">
        <v>88</v>
      </c>
      <c r="B121" s="27" t="s">
        <v>1</v>
      </c>
      <c r="C121" s="27" t="s">
        <v>2</v>
      </c>
      <c r="D121" s="27" t="s">
        <v>3</v>
      </c>
      <c r="E121" s="27" t="s">
        <v>4</v>
      </c>
      <c r="F121" s="88" t="s">
        <v>5</v>
      </c>
      <c r="G121" s="88" t="s">
        <v>71</v>
      </c>
      <c r="H121" s="27" t="s">
        <v>7</v>
      </c>
      <c r="I121" s="28" t="s">
        <v>62</v>
      </c>
      <c r="J121" s="29" t="s">
        <v>63</v>
      </c>
      <c r="K121" s="29" t="s">
        <v>10</v>
      </c>
      <c r="L121" s="28" t="s">
        <v>11</v>
      </c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20"/>
      <c r="AK121" s="20"/>
      <c r="AL121" s="20"/>
      <c r="AM121" s="20"/>
    </row>
    <row r="122">
      <c r="A122" s="7" t="s">
        <v>12</v>
      </c>
      <c r="B122" s="9">
        <v>0.0</v>
      </c>
      <c r="C122" s="9">
        <f>SUM(B131:AF131)</f>
        <v>2</v>
      </c>
      <c r="D122" s="89" t="str">
        <f t="shared" ref="D122:D124" si="38">C122/B122</f>
        <v>#DIV/0!</v>
      </c>
      <c r="E122" s="19">
        <f>B122-C122</f>
        <v>-2</v>
      </c>
      <c r="F122" s="9"/>
      <c r="G122" s="9"/>
      <c r="H122" s="19">
        <f>F122-B122</f>
        <v>0</v>
      </c>
      <c r="I122" s="78">
        <f>B122/30</f>
        <v>0</v>
      </c>
      <c r="J122" s="82">
        <f>E122/(AK122-AJ122)</f>
        <v>-0.08333333333</v>
      </c>
      <c r="K122" s="78">
        <f>C122/AJ104</f>
        <v>0.2857142857</v>
      </c>
      <c r="L122" s="78"/>
      <c r="M122" s="87"/>
      <c r="N122" s="87"/>
      <c r="O122" s="78"/>
      <c r="P122" s="78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14">
        <f>AK123</f>
        <v>7</v>
      </c>
      <c r="AK122" s="14" t="str">
        <f>AM122</f>
        <v>31</v>
      </c>
      <c r="AL122" s="15">
        <f>DATE(YEAR(TODAY()),MONTH(TODAY())+1,1)-1</f>
        <v>44561</v>
      </c>
      <c r="AM122" s="14" t="str">
        <f>LEFT(AL122, 2)</f>
        <v>31</v>
      </c>
    </row>
    <row r="123">
      <c r="A123" s="7" t="s">
        <v>13</v>
      </c>
      <c r="B123" s="9" t="str">
        <f t="shared" ref="B123:C123" si="37">B124/B122</f>
        <v>#DIV/0!</v>
      </c>
      <c r="C123" s="9">
        <f t="shared" si="37"/>
        <v>0</v>
      </c>
      <c r="D123" s="89" t="str">
        <f t="shared" si="38"/>
        <v>#DIV/0!</v>
      </c>
      <c r="E123" s="78"/>
      <c r="F123" s="9"/>
      <c r="G123" s="9"/>
      <c r="H123" s="78"/>
      <c r="I123" s="78"/>
      <c r="J123" s="90"/>
      <c r="K123" s="78"/>
      <c r="L123" s="78"/>
      <c r="M123" s="78"/>
      <c r="N123" s="78"/>
      <c r="O123" s="9"/>
      <c r="P123" s="9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17">
        <f>TODAY()</f>
        <v>44538</v>
      </c>
      <c r="AK123" s="14">
        <f>LEFT(AJ123, 2)-1</f>
        <v>7</v>
      </c>
      <c r="AL123" s="18"/>
      <c r="AM123" s="18"/>
    </row>
    <row r="124">
      <c r="A124" s="7" t="s">
        <v>14</v>
      </c>
      <c r="B124" s="9">
        <v>0.0</v>
      </c>
      <c r="C124" s="9">
        <f>SUM(B130:AF130)</f>
        <v>0</v>
      </c>
      <c r="D124" s="89" t="str">
        <f t="shared" si="38"/>
        <v>#DIV/0!</v>
      </c>
      <c r="E124" s="78">
        <f>B124-C124</f>
        <v>0</v>
      </c>
      <c r="F124" s="9"/>
      <c r="G124" s="9"/>
      <c r="H124" s="78">
        <f>F124-B124</f>
        <v>0</v>
      </c>
      <c r="I124" s="91">
        <f>B124/30</f>
        <v>0</v>
      </c>
      <c r="J124" s="91">
        <f>E124/(AK122-AJ122)</f>
        <v>0</v>
      </c>
      <c r="K124" s="78">
        <f>B124/AJ104</f>
        <v>0</v>
      </c>
      <c r="L124" s="78"/>
      <c r="M124" s="78"/>
      <c r="N124" s="78"/>
      <c r="O124" s="78"/>
      <c r="P124" s="78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20"/>
      <c r="AK124" s="20"/>
      <c r="AL124" s="20"/>
      <c r="AM124" s="20"/>
    </row>
    <row r="125">
      <c r="A125" s="51"/>
      <c r="B125" s="78"/>
      <c r="C125" s="78"/>
      <c r="D125" s="78"/>
      <c r="E125" s="78"/>
      <c r="F125" s="87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20"/>
      <c r="AK125" s="20"/>
      <c r="AL125" s="20"/>
      <c r="AM125" s="20"/>
    </row>
    <row r="126">
      <c r="A126" s="51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20"/>
      <c r="AK126" s="20"/>
      <c r="AL126" s="20"/>
      <c r="AM126" s="20"/>
    </row>
    <row r="127">
      <c r="A127" s="51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79"/>
      <c r="AD127" s="79"/>
      <c r="AE127" s="79"/>
      <c r="AF127" s="79"/>
      <c r="AG127" s="79"/>
      <c r="AH127" s="79"/>
      <c r="AI127" s="79"/>
      <c r="AJ127" s="20"/>
      <c r="AK127" s="20"/>
      <c r="AL127" s="20"/>
      <c r="AM127" s="20"/>
    </row>
    <row r="128">
      <c r="A128" s="33" t="s">
        <v>89</v>
      </c>
      <c r="B128" s="34" t="s">
        <v>22</v>
      </c>
      <c r="C128" s="34" t="s">
        <v>23</v>
      </c>
      <c r="D128" s="34" t="s">
        <v>24</v>
      </c>
      <c r="E128" s="34" t="s">
        <v>25</v>
      </c>
      <c r="F128" s="34" t="s">
        <v>26</v>
      </c>
      <c r="G128" s="34" t="s">
        <v>20</v>
      </c>
      <c r="H128" s="34" t="s">
        <v>21</v>
      </c>
      <c r="I128" s="34" t="s">
        <v>22</v>
      </c>
      <c r="J128" s="34" t="s">
        <v>23</v>
      </c>
      <c r="K128" s="34" t="s">
        <v>24</v>
      </c>
      <c r="L128" s="34" t="s">
        <v>25</v>
      </c>
      <c r="M128" s="34" t="s">
        <v>26</v>
      </c>
      <c r="N128" s="34" t="s">
        <v>20</v>
      </c>
      <c r="O128" s="34" t="s">
        <v>21</v>
      </c>
      <c r="P128" s="34" t="s">
        <v>22</v>
      </c>
      <c r="Q128" s="34" t="s">
        <v>23</v>
      </c>
      <c r="R128" s="34" t="s">
        <v>24</v>
      </c>
      <c r="S128" s="34" t="s">
        <v>25</v>
      </c>
      <c r="T128" s="34" t="s">
        <v>26</v>
      </c>
      <c r="U128" s="34" t="s">
        <v>20</v>
      </c>
      <c r="V128" s="34" t="s">
        <v>21</v>
      </c>
      <c r="W128" s="34" t="s">
        <v>22</v>
      </c>
      <c r="X128" s="34" t="s">
        <v>23</v>
      </c>
      <c r="Y128" s="34" t="s">
        <v>24</v>
      </c>
      <c r="Z128" s="34" t="s">
        <v>25</v>
      </c>
      <c r="AA128" s="34" t="s">
        <v>26</v>
      </c>
      <c r="AB128" s="34" t="s">
        <v>20</v>
      </c>
      <c r="AC128" s="34" t="s">
        <v>21</v>
      </c>
      <c r="AD128" s="34" t="s">
        <v>22</v>
      </c>
      <c r="AE128" s="34" t="s">
        <v>23</v>
      </c>
      <c r="AF128" s="34" t="s">
        <v>24</v>
      </c>
      <c r="AG128" s="79"/>
      <c r="AH128" s="79"/>
      <c r="AI128" s="79"/>
      <c r="AJ128" s="20"/>
      <c r="AK128" s="20"/>
      <c r="AL128" s="20"/>
      <c r="AM128" s="20"/>
    </row>
    <row r="129">
      <c r="A129" s="72" t="s">
        <v>69</v>
      </c>
      <c r="B129" s="48">
        <v>44470.0</v>
      </c>
      <c r="C129" s="48">
        <v>44471.0</v>
      </c>
      <c r="D129" s="48">
        <v>44472.0</v>
      </c>
      <c r="E129" s="48">
        <v>44473.0</v>
      </c>
      <c r="F129" s="48">
        <v>44474.0</v>
      </c>
      <c r="G129" s="48">
        <v>44475.0</v>
      </c>
      <c r="H129" s="48">
        <v>44476.0</v>
      </c>
      <c r="I129" s="48">
        <v>44477.0</v>
      </c>
      <c r="J129" s="48">
        <v>44478.0</v>
      </c>
      <c r="K129" s="48">
        <v>44479.0</v>
      </c>
      <c r="L129" s="48">
        <v>44480.0</v>
      </c>
      <c r="M129" s="48">
        <v>44481.0</v>
      </c>
      <c r="N129" s="48">
        <v>44482.0</v>
      </c>
      <c r="O129" s="48">
        <v>44483.0</v>
      </c>
      <c r="P129" s="48">
        <v>44484.0</v>
      </c>
      <c r="Q129" s="48">
        <v>44485.0</v>
      </c>
      <c r="R129" s="48">
        <v>44486.0</v>
      </c>
      <c r="S129" s="48">
        <v>44487.0</v>
      </c>
      <c r="T129" s="48">
        <v>44488.0</v>
      </c>
      <c r="U129" s="48">
        <v>44489.0</v>
      </c>
      <c r="V129" s="48">
        <v>44490.0</v>
      </c>
      <c r="W129" s="48">
        <v>44491.0</v>
      </c>
      <c r="X129" s="48">
        <v>44492.0</v>
      </c>
      <c r="Y129" s="48">
        <v>44493.0</v>
      </c>
      <c r="Z129" s="48">
        <v>44494.0</v>
      </c>
      <c r="AA129" s="48">
        <v>44495.0</v>
      </c>
      <c r="AB129" s="48">
        <v>44496.0</v>
      </c>
      <c r="AC129" s="48">
        <v>44497.0</v>
      </c>
      <c r="AD129" s="48">
        <v>44498.0</v>
      </c>
      <c r="AE129" s="48">
        <v>44499.0</v>
      </c>
      <c r="AF129" s="48">
        <v>44500.0</v>
      </c>
      <c r="AG129" s="55"/>
      <c r="AH129" s="55"/>
      <c r="AI129" s="55"/>
      <c r="AJ129" s="18"/>
      <c r="AK129" s="18"/>
      <c r="AL129" s="18"/>
      <c r="AM129" s="18"/>
    </row>
    <row r="130">
      <c r="A130" s="49" t="s">
        <v>28</v>
      </c>
      <c r="B130" s="38">
        <v>0.0</v>
      </c>
      <c r="C130" s="38">
        <v>0.0</v>
      </c>
      <c r="D130" s="38">
        <v>0.0</v>
      </c>
      <c r="E130" s="38">
        <v>0.0</v>
      </c>
      <c r="F130" s="38">
        <v>0.0</v>
      </c>
      <c r="G130" s="38">
        <v>0.0</v>
      </c>
      <c r="H130" s="38">
        <v>0.0</v>
      </c>
      <c r="I130" s="38">
        <v>0.0</v>
      </c>
      <c r="J130" s="38">
        <v>0.0</v>
      </c>
      <c r="K130" s="38">
        <v>0.0</v>
      </c>
      <c r="L130" s="38">
        <v>0.0</v>
      </c>
      <c r="M130" s="38">
        <v>0.0</v>
      </c>
      <c r="N130" s="38">
        <v>0.0</v>
      </c>
      <c r="O130" s="38">
        <v>0.0</v>
      </c>
      <c r="P130" s="38">
        <v>0.0</v>
      </c>
      <c r="Q130" s="38">
        <v>0.0</v>
      </c>
      <c r="R130" s="38">
        <v>0.0</v>
      </c>
      <c r="S130" s="38">
        <v>0.0</v>
      </c>
      <c r="T130" s="38">
        <v>0.0</v>
      </c>
      <c r="U130" s="38">
        <v>0.0</v>
      </c>
      <c r="V130" s="38">
        <v>0.0</v>
      </c>
      <c r="W130" s="38">
        <v>0.0</v>
      </c>
      <c r="X130" s="38">
        <v>0.0</v>
      </c>
      <c r="Y130" s="38">
        <v>0.0</v>
      </c>
      <c r="Z130" s="38">
        <v>0.0</v>
      </c>
      <c r="AA130" s="38">
        <v>0.0</v>
      </c>
      <c r="AB130" s="38">
        <v>0.0</v>
      </c>
      <c r="AC130" s="38">
        <v>0.0</v>
      </c>
      <c r="AD130" s="38">
        <v>0.0</v>
      </c>
      <c r="AE130" s="38">
        <v>0.0</v>
      </c>
      <c r="AF130" s="38">
        <v>0.0</v>
      </c>
      <c r="AG130" s="85"/>
      <c r="AH130" s="85"/>
      <c r="AI130" s="85"/>
      <c r="AJ130" s="20"/>
      <c r="AK130" s="20"/>
      <c r="AL130" s="20"/>
      <c r="AM130" s="20"/>
    </row>
    <row r="131">
      <c r="A131" s="49" t="s">
        <v>29</v>
      </c>
      <c r="B131" s="38">
        <v>0.0</v>
      </c>
      <c r="C131" s="38">
        <v>0.0</v>
      </c>
      <c r="D131" s="38">
        <v>0.0</v>
      </c>
      <c r="E131" s="38">
        <v>0.0</v>
      </c>
      <c r="F131" s="38">
        <v>0.0</v>
      </c>
      <c r="G131" s="38">
        <v>0.0</v>
      </c>
      <c r="H131" s="38">
        <v>0.0</v>
      </c>
      <c r="I131" s="38">
        <v>1.0</v>
      </c>
      <c r="J131" s="38">
        <v>0.0</v>
      </c>
      <c r="K131" s="38">
        <v>0.0</v>
      </c>
      <c r="L131" s="38">
        <v>1.0</v>
      </c>
      <c r="M131" s="38">
        <v>0.0</v>
      </c>
      <c r="N131" s="38">
        <v>0.0</v>
      </c>
      <c r="O131" s="38">
        <v>0.0</v>
      </c>
      <c r="P131" s="38">
        <v>0.0</v>
      </c>
      <c r="Q131" s="38">
        <v>0.0</v>
      </c>
      <c r="R131" s="38">
        <v>0.0</v>
      </c>
      <c r="S131" s="38">
        <v>0.0</v>
      </c>
      <c r="T131" s="38">
        <v>0.0</v>
      </c>
      <c r="U131" s="38">
        <v>0.0</v>
      </c>
      <c r="V131" s="38"/>
      <c r="W131" s="38">
        <v>0.0</v>
      </c>
      <c r="X131" s="38">
        <v>0.0</v>
      </c>
      <c r="Y131" s="38">
        <v>0.0</v>
      </c>
      <c r="Z131" s="38"/>
      <c r="AA131" s="38"/>
      <c r="AB131" s="38"/>
      <c r="AC131" s="38">
        <v>0.0</v>
      </c>
      <c r="AD131" s="38">
        <v>0.0</v>
      </c>
      <c r="AE131" s="38">
        <v>0.0</v>
      </c>
      <c r="AF131" s="38">
        <v>0.0</v>
      </c>
      <c r="AG131" s="51"/>
      <c r="AH131" s="51"/>
      <c r="AI131" s="51"/>
      <c r="AJ131" s="20"/>
      <c r="AK131" s="20"/>
      <c r="AL131" s="20"/>
      <c r="AM131" s="20"/>
    </row>
    <row r="132">
      <c r="A132" s="35" t="s">
        <v>30</v>
      </c>
      <c r="B132" s="39" t="str">
        <f t="shared" ref="B132:Q132" si="39">B130/B131</f>
        <v>#DIV/0!</v>
      </c>
      <c r="C132" s="39" t="str">
        <f t="shared" si="39"/>
        <v>#DIV/0!</v>
      </c>
      <c r="D132" s="39" t="str">
        <f t="shared" si="39"/>
        <v>#DIV/0!</v>
      </c>
      <c r="E132" s="39" t="str">
        <f t="shared" si="39"/>
        <v>#DIV/0!</v>
      </c>
      <c r="F132" s="39" t="str">
        <f t="shared" si="39"/>
        <v>#DIV/0!</v>
      </c>
      <c r="G132" s="39" t="str">
        <f t="shared" si="39"/>
        <v>#DIV/0!</v>
      </c>
      <c r="H132" s="39" t="str">
        <f t="shared" si="39"/>
        <v>#DIV/0!</v>
      </c>
      <c r="I132" s="39">
        <f t="shared" si="39"/>
        <v>0</v>
      </c>
      <c r="J132" s="39" t="str">
        <f t="shared" si="39"/>
        <v>#DIV/0!</v>
      </c>
      <c r="K132" s="55" t="str">
        <f t="shared" si="39"/>
        <v>#DIV/0!</v>
      </c>
      <c r="L132" s="55">
        <f t="shared" si="39"/>
        <v>0</v>
      </c>
      <c r="M132" s="55" t="str">
        <f t="shared" si="39"/>
        <v>#DIV/0!</v>
      </c>
      <c r="N132" s="55" t="str">
        <f t="shared" si="39"/>
        <v>#DIV/0!</v>
      </c>
      <c r="O132" s="38" t="str">
        <f t="shared" si="39"/>
        <v>#DIV/0!</v>
      </c>
      <c r="P132" s="55" t="str">
        <f t="shared" si="39"/>
        <v>#DIV/0!</v>
      </c>
      <c r="Q132" s="55" t="str">
        <f t="shared" si="39"/>
        <v>#DIV/0!</v>
      </c>
      <c r="R132" s="55" t="str">
        <f t="shared" ref="R132:T132" si="40">R117/R131</f>
        <v>#DIV/0!</v>
      </c>
      <c r="S132" s="87" t="str">
        <f t="shared" si="40"/>
        <v>#DIV/0!</v>
      </c>
      <c r="T132" s="87" t="str">
        <f t="shared" si="40"/>
        <v>#DIV/0!</v>
      </c>
      <c r="U132" s="87" t="str">
        <f t="shared" ref="U132:AF132" si="41">U130/U131</f>
        <v>#DIV/0!</v>
      </c>
      <c r="V132" s="87" t="str">
        <f t="shared" si="41"/>
        <v>#DIV/0!</v>
      </c>
      <c r="W132" s="87" t="str">
        <f t="shared" si="41"/>
        <v>#DIV/0!</v>
      </c>
      <c r="X132" s="87" t="str">
        <f t="shared" si="41"/>
        <v>#DIV/0!</v>
      </c>
      <c r="Y132" s="87" t="str">
        <f t="shared" si="41"/>
        <v>#DIV/0!</v>
      </c>
      <c r="Z132" s="87" t="str">
        <f t="shared" si="41"/>
        <v>#DIV/0!</v>
      </c>
      <c r="AA132" s="87" t="str">
        <f t="shared" si="41"/>
        <v>#DIV/0!</v>
      </c>
      <c r="AB132" s="87" t="str">
        <f t="shared" si="41"/>
        <v>#DIV/0!</v>
      </c>
      <c r="AC132" s="55" t="str">
        <f t="shared" si="41"/>
        <v>#DIV/0!</v>
      </c>
      <c r="AD132" s="38" t="str">
        <f t="shared" si="41"/>
        <v>#DIV/0!</v>
      </c>
      <c r="AE132" s="55" t="str">
        <f t="shared" si="41"/>
        <v>#DIV/0!</v>
      </c>
      <c r="AF132" s="55" t="str">
        <f t="shared" si="41"/>
        <v>#DIV/0!</v>
      </c>
      <c r="AG132" s="55"/>
      <c r="AH132" s="55"/>
      <c r="AI132" s="55"/>
      <c r="AJ132" s="40"/>
      <c r="AK132" s="40"/>
      <c r="AL132" s="40"/>
      <c r="AM132" s="40"/>
    </row>
    <row r="133">
      <c r="A133" s="24"/>
      <c r="B133" s="78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40"/>
      <c r="AK133" s="40"/>
      <c r="AL133" s="40"/>
      <c r="AM133" s="40"/>
    </row>
    <row r="134">
      <c r="A134" s="26" t="s">
        <v>90</v>
      </c>
      <c r="B134" s="27" t="s">
        <v>1</v>
      </c>
      <c r="C134" s="28" t="s">
        <v>2</v>
      </c>
      <c r="D134" s="28" t="s">
        <v>3</v>
      </c>
      <c r="E134" s="28" t="s">
        <v>4</v>
      </c>
      <c r="F134" s="92" t="s">
        <v>5</v>
      </c>
      <c r="G134" s="92" t="s">
        <v>6</v>
      </c>
      <c r="H134" s="28" t="s">
        <v>74</v>
      </c>
      <c r="I134" s="28" t="s">
        <v>62</v>
      </c>
      <c r="J134" s="29" t="s">
        <v>75</v>
      </c>
      <c r="K134" s="29" t="s">
        <v>76</v>
      </c>
      <c r="L134" s="28" t="s">
        <v>11</v>
      </c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20"/>
      <c r="AK134" s="20"/>
      <c r="AL134" s="20"/>
      <c r="AM134" s="20"/>
    </row>
    <row r="135">
      <c r="A135" s="7" t="s">
        <v>12</v>
      </c>
      <c r="B135" s="8">
        <v>75.0</v>
      </c>
      <c r="C135" s="9">
        <f>SUM(B146:AF146)</f>
        <v>77</v>
      </c>
      <c r="D135" s="93">
        <f t="shared" ref="D135:D137" si="43">C135/B135</f>
        <v>1.026666667</v>
      </c>
      <c r="E135" s="19">
        <f>B135-C135</f>
        <v>-2</v>
      </c>
      <c r="F135" s="9"/>
      <c r="G135" s="45"/>
      <c r="H135" s="9"/>
      <c r="I135" s="12">
        <f>E135/(AK109-AJ109)</f>
        <v>-0.08333333333</v>
      </c>
      <c r="J135" s="12">
        <f>B135/AK104</f>
        <v>2.419354839</v>
      </c>
      <c r="K135" s="9">
        <f>C135/AJ104</f>
        <v>11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20"/>
      <c r="AK135" s="20"/>
      <c r="AL135" s="20"/>
      <c r="AM135" s="20"/>
    </row>
    <row r="136">
      <c r="A136" s="7" t="s">
        <v>13</v>
      </c>
      <c r="B136" s="9">
        <f t="shared" ref="B136:C136" si="42">B137/B135</f>
        <v>1280</v>
      </c>
      <c r="C136" s="9">
        <f t="shared" si="42"/>
        <v>1058.336089</v>
      </c>
      <c r="D136" s="93">
        <f t="shared" si="43"/>
        <v>0.8268250694</v>
      </c>
      <c r="E136" s="78"/>
      <c r="F136" s="9"/>
      <c r="G136" s="45"/>
      <c r="H136" s="9"/>
      <c r="I136" s="87"/>
      <c r="J136" s="79"/>
      <c r="K136" s="79"/>
      <c r="L136" s="79"/>
      <c r="M136" s="79"/>
      <c r="N136" s="79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18"/>
      <c r="AK136" s="18"/>
      <c r="AL136" s="18"/>
      <c r="AM136" s="18"/>
    </row>
    <row r="137">
      <c r="A137" s="7" t="s">
        <v>14</v>
      </c>
      <c r="B137" s="8">
        <v>96000.0</v>
      </c>
      <c r="C137" s="9">
        <f>SUM(A145:AF145)</f>
        <v>81491.87884</v>
      </c>
      <c r="D137" s="93">
        <f t="shared" si="43"/>
        <v>0.8488737379</v>
      </c>
      <c r="E137" s="78">
        <f>B137-C137</f>
        <v>14508.12116</v>
      </c>
      <c r="F137" s="9"/>
      <c r="G137" s="45"/>
      <c r="H137" s="9"/>
      <c r="I137" s="87">
        <f>E137/(AK109-AJ109)</f>
        <v>604.5050483</v>
      </c>
      <c r="J137" s="91">
        <f>B137/AK104</f>
        <v>3096.774194</v>
      </c>
      <c r="K137" s="84">
        <f>C137/AJ104</f>
        <v>11641.69698</v>
      </c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20"/>
      <c r="AK137" s="20"/>
      <c r="AL137" s="20"/>
      <c r="AM137" s="20"/>
    </row>
    <row r="138">
      <c r="A138" s="51"/>
      <c r="B138" s="78"/>
      <c r="C138" s="79"/>
      <c r="D138" s="79"/>
      <c r="E138" s="51"/>
      <c r="F138" s="51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20"/>
      <c r="AK138" s="20"/>
      <c r="AL138" s="20"/>
      <c r="AM138" s="20"/>
    </row>
    <row r="139">
      <c r="A139" s="51"/>
      <c r="B139" s="78"/>
      <c r="C139" s="79"/>
      <c r="D139" s="85"/>
      <c r="E139" s="79"/>
      <c r="F139" s="85"/>
      <c r="G139" s="85"/>
      <c r="H139" s="85"/>
      <c r="I139" s="85"/>
      <c r="J139" s="85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20"/>
      <c r="AK139" s="20"/>
      <c r="AL139" s="20"/>
      <c r="AM139" s="20"/>
    </row>
    <row r="140">
      <c r="A140" s="7"/>
      <c r="B140" s="78"/>
      <c r="C140" s="79"/>
      <c r="D140" s="85"/>
      <c r="E140" s="79"/>
      <c r="F140" s="85"/>
      <c r="G140" s="85"/>
      <c r="H140" s="85"/>
      <c r="I140" s="85"/>
      <c r="J140" s="85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79"/>
      <c r="AD140" s="79"/>
      <c r="AE140" s="79"/>
      <c r="AF140" s="79"/>
      <c r="AG140" s="79"/>
      <c r="AH140" s="79"/>
      <c r="AI140" s="79"/>
      <c r="AJ140" s="20"/>
      <c r="AK140" s="20"/>
      <c r="AL140" s="20"/>
      <c r="AM140" s="20"/>
    </row>
    <row r="141">
      <c r="A141" s="7"/>
      <c r="B141" s="78"/>
      <c r="C141" s="85"/>
      <c r="D141" s="85"/>
      <c r="E141" s="85"/>
      <c r="F141" s="85"/>
      <c r="G141" s="85"/>
      <c r="H141" s="85"/>
      <c r="I141" s="85"/>
      <c r="J141" s="85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79"/>
      <c r="AD141" s="79"/>
      <c r="AE141" s="79"/>
      <c r="AF141" s="79"/>
      <c r="AG141" s="79"/>
      <c r="AH141" s="79"/>
      <c r="AI141" s="79"/>
      <c r="AJ141" s="20"/>
      <c r="AK141" s="20"/>
      <c r="AL141" s="20"/>
      <c r="AM141" s="20"/>
    </row>
    <row r="142">
      <c r="A142" s="7"/>
      <c r="B142" s="78"/>
      <c r="C142" s="85"/>
      <c r="D142" s="85"/>
      <c r="E142" s="85"/>
      <c r="F142" s="85"/>
      <c r="G142" s="85"/>
      <c r="H142" s="85"/>
      <c r="I142" s="85"/>
      <c r="J142" s="85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79"/>
      <c r="AD142" s="79"/>
      <c r="AE142" s="79"/>
      <c r="AF142" s="79"/>
      <c r="AG142" s="79"/>
      <c r="AH142" s="79"/>
      <c r="AI142" s="79"/>
      <c r="AJ142" s="20"/>
      <c r="AK142" s="20"/>
      <c r="AL142" s="20"/>
      <c r="AM142" s="20"/>
    </row>
    <row r="143">
      <c r="A143" s="33" t="s">
        <v>91</v>
      </c>
      <c r="B143" s="34" t="s">
        <v>22</v>
      </c>
      <c r="C143" s="34" t="s">
        <v>23</v>
      </c>
      <c r="D143" s="34" t="s">
        <v>24</v>
      </c>
      <c r="E143" s="34" t="s">
        <v>25</v>
      </c>
      <c r="F143" s="34" t="s">
        <v>26</v>
      </c>
      <c r="G143" s="34" t="s">
        <v>20</v>
      </c>
      <c r="H143" s="34" t="s">
        <v>21</v>
      </c>
      <c r="I143" s="34" t="s">
        <v>22</v>
      </c>
      <c r="J143" s="34" t="s">
        <v>23</v>
      </c>
      <c r="K143" s="34" t="s">
        <v>24</v>
      </c>
      <c r="L143" s="34" t="s">
        <v>25</v>
      </c>
      <c r="M143" s="34" t="s">
        <v>26</v>
      </c>
      <c r="N143" s="34" t="s">
        <v>20</v>
      </c>
      <c r="O143" s="34" t="s">
        <v>21</v>
      </c>
      <c r="P143" s="34" t="s">
        <v>22</v>
      </c>
      <c r="Q143" s="34" t="s">
        <v>23</v>
      </c>
      <c r="R143" s="34" t="s">
        <v>24</v>
      </c>
      <c r="S143" s="34" t="s">
        <v>25</v>
      </c>
      <c r="T143" s="34" t="s">
        <v>26</v>
      </c>
      <c r="U143" s="34" t="s">
        <v>20</v>
      </c>
      <c r="V143" s="34" t="s">
        <v>21</v>
      </c>
      <c r="W143" s="34" t="s">
        <v>22</v>
      </c>
      <c r="X143" s="34" t="s">
        <v>23</v>
      </c>
      <c r="Y143" s="34" t="s">
        <v>24</v>
      </c>
      <c r="Z143" s="34" t="s">
        <v>25</v>
      </c>
      <c r="AA143" s="34" t="s">
        <v>26</v>
      </c>
      <c r="AB143" s="34" t="s">
        <v>20</v>
      </c>
      <c r="AC143" s="34" t="s">
        <v>21</v>
      </c>
      <c r="AD143" s="34" t="s">
        <v>22</v>
      </c>
      <c r="AE143" s="34" t="s">
        <v>23</v>
      </c>
      <c r="AF143" s="34" t="s">
        <v>24</v>
      </c>
      <c r="AJ143" s="20"/>
      <c r="AK143" s="20"/>
      <c r="AL143" s="20"/>
      <c r="AM143" s="20"/>
    </row>
    <row r="144">
      <c r="A144" s="72" t="s">
        <v>69</v>
      </c>
      <c r="B144" s="48">
        <v>44470.0</v>
      </c>
      <c r="C144" s="48">
        <v>44471.0</v>
      </c>
      <c r="D144" s="48">
        <v>44472.0</v>
      </c>
      <c r="E144" s="48">
        <v>44473.0</v>
      </c>
      <c r="F144" s="48">
        <v>44474.0</v>
      </c>
      <c r="G144" s="48">
        <v>44475.0</v>
      </c>
      <c r="H144" s="48">
        <v>44476.0</v>
      </c>
      <c r="I144" s="48">
        <v>44477.0</v>
      </c>
      <c r="J144" s="48">
        <v>44478.0</v>
      </c>
      <c r="K144" s="48">
        <v>44479.0</v>
      </c>
      <c r="L144" s="48">
        <v>44480.0</v>
      </c>
      <c r="M144" s="48">
        <v>44481.0</v>
      </c>
      <c r="N144" s="48">
        <v>44482.0</v>
      </c>
      <c r="O144" s="48">
        <v>44483.0</v>
      </c>
      <c r="P144" s="48">
        <v>44484.0</v>
      </c>
      <c r="Q144" s="48">
        <v>44485.0</v>
      </c>
      <c r="R144" s="48">
        <v>44486.0</v>
      </c>
      <c r="S144" s="48">
        <v>44487.0</v>
      </c>
      <c r="T144" s="48">
        <v>44488.0</v>
      </c>
      <c r="U144" s="48">
        <v>44489.0</v>
      </c>
      <c r="V144" s="48">
        <v>44490.0</v>
      </c>
      <c r="W144" s="48">
        <v>44491.0</v>
      </c>
      <c r="X144" s="48">
        <v>44492.0</v>
      </c>
      <c r="Y144" s="48">
        <v>44493.0</v>
      </c>
      <c r="Z144" s="48">
        <v>44494.0</v>
      </c>
      <c r="AA144" s="48">
        <v>44495.0</v>
      </c>
      <c r="AB144" s="48">
        <v>44496.0</v>
      </c>
      <c r="AC144" s="48">
        <v>44497.0</v>
      </c>
      <c r="AD144" s="48">
        <v>44498.0</v>
      </c>
      <c r="AE144" s="48">
        <v>44499.0</v>
      </c>
      <c r="AF144" s="48">
        <v>44500.0</v>
      </c>
      <c r="AJ144" s="18"/>
      <c r="AK144" s="18"/>
      <c r="AL144" s="18"/>
      <c r="AM144" s="18"/>
    </row>
    <row r="145">
      <c r="A145" s="49" t="s">
        <v>28</v>
      </c>
      <c r="B145" s="38">
        <f>1.004*2766.77</f>
        <v>2777.83708</v>
      </c>
      <c r="C145" s="38">
        <f>1.004*1830.11</f>
        <v>1837.43044</v>
      </c>
      <c r="D145" s="38">
        <f>1.004*2525.93</f>
        <v>2536.03372</v>
      </c>
      <c r="E145" s="38">
        <f>1.004*2163.78</f>
        <v>2172.43512</v>
      </c>
      <c r="F145" s="38">
        <f>1.004*2142.19</f>
        <v>2150.75876</v>
      </c>
      <c r="G145" s="38">
        <f>1.004*2564.27</f>
        <v>2574.52708</v>
      </c>
      <c r="H145" s="38">
        <f>1.004*2422.66</f>
        <v>2432.35064</v>
      </c>
      <c r="I145" s="38">
        <f>1.004*2911.97</f>
        <v>2923.61788</v>
      </c>
      <c r="J145" s="38">
        <f>1.004*2415.6</f>
        <v>2425.2624</v>
      </c>
      <c r="K145" s="38">
        <f>1.004*2854.93</f>
        <v>2866.34972</v>
      </c>
      <c r="L145" s="38">
        <f>1.004*4659</f>
        <v>4677.636</v>
      </c>
      <c r="M145" s="38">
        <f>1.004*2222.32</f>
        <v>2231.20928</v>
      </c>
      <c r="N145" s="38">
        <f>1.004*2858.71</f>
        <v>2870.14484</v>
      </c>
      <c r="O145" s="38">
        <f>1.004*2889.74</f>
        <v>2901.29896</v>
      </c>
      <c r="P145" s="38">
        <f>1.004*2170.54</f>
        <v>2179.22216</v>
      </c>
      <c r="Q145" s="38">
        <f>1.004*3731.09</f>
        <v>3746.01436</v>
      </c>
      <c r="R145" s="38">
        <f>1.004*1268.54</f>
        <v>1273.61416</v>
      </c>
      <c r="S145" s="38">
        <f>1.004*3979.32</f>
        <v>3995.23728</v>
      </c>
      <c r="T145" s="39">
        <f>1.004*2713.88</f>
        <v>2724.73552</v>
      </c>
      <c r="U145" s="39">
        <f>1.004*3681.16</f>
        <v>3695.88464</v>
      </c>
      <c r="V145" s="39">
        <f>1.004*2188.25</f>
        <v>2197.003</v>
      </c>
      <c r="W145" s="39">
        <f>1.004*2205.46
</f>
        <v>2214.28184</v>
      </c>
      <c r="X145" s="38">
        <f>1.004*3118.32</f>
        <v>3130.79328</v>
      </c>
      <c r="Y145" s="38">
        <f>1.004*3037.82
</f>
        <v>3049.97128</v>
      </c>
      <c r="Z145" s="38">
        <f>1.004*3683.66
</f>
        <v>3698.39464</v>
      </c>
      <c r="AA145" s="38">
        <f>1.004*1720.2</f>
        <v>1727.0808</v>
      </c>
      <c r="AB145" s="38">
        <f>1.004*1958.76</f>
        <v>1966.59504</v>
      </c>
      <c r="AC145" s="38">
        <f>1.004*2407.98
</f>
        <v>2417.61192</v>
      </c>
      <c r="AD145" s="38">
        <f>1.004*2516.45</f>
        <v>2526.5158</v>
      </c>
      <c r="AE145" s="38">
        <f>1.004*1877.55</f>
        <v>1885.0602</v>
      </c>
      <c r="AF145" s="38">
        <f>1.004*1680.25
</f>
        <v>1686.971</v>
      </c>
      <c r="AJ145" s="20"/>
      <c r="AK145" s="20"/>
      <c r="AL145" s="20"/>
      <c r="AM145" s="20"/>
    </row>
    <row r="146">
      <c r="A146" s="49" t="s">
        <v>29</v>
      </c>
      <c r="B146" s="38">
        <v>3.0</v>
      </c>
      <c r="C146" s="38">
        <v>1.0</v>
      </c>
      <c r="D146" s="38">
        <v>1.0</v>
      </c>
      <c r="E146" s="38">
        <v>0.0</v>
      </c>
      <c r="F146" s="38">
        <v>4.0</v>
      </c>
      <c r="G146" s="38">
        <v>2.0</v>
      </c>
      <c r="H146" s="38">
        <v>2.0</v>
      </c>
      <c r="I146" s="38">
        <v>1.0</v>
      </c>
      <c r="J146" s="38">
        <v>4.0</v>
      </c>
      <c r="K146" s="38">
        <v>1.0</v>
      </c>
      <c r="L146" s="38">
        <v>7.0</v>
      </c>
      <c r="M146" s="38">
        <v>2.0</v>
      </c>
      <c r="N146" s="38">
        <v>3.0</v>
      </c>
      <c r="O146" s="38">
        <v>1.0</v>
      </c>
      <c r="P146" s="38">
        <v>5.0</v>
      </c>
      <c r="Q146" s="38">
        <v>4.0</v>
      </c>
      <c r="R146" s="38">
        <v>1.0</v>
      </c>
      <c r="S146" s="38">
        <v>4.0</v>
      </c>
      <c r="T146" s="38">
        <v>3.0</v>
      </c>
      <c r="U146" s="38">
        <v>3.0</v>
      </c>
      <c r="V146" s="38">
        <v>3.0</v>
      </c>
      <c r="W146" s="38">
        <v>1.0</v>
      </c>
      <c r="X146" s="38">
        <v>4.0</v>
      </c>
      <c r="Y146" s="38">
        <v>2.0</v>
      </c>
      <c r="Z146" s="38">
        <v>3.0</v>
      </c>
      <c r="AA146" s="38">
        <v>2.0</v>
      </c>
      <c r="AB146" s="38">
        <v>4.0</v>
      </c>
      <c r="AC146" s="38">
        <v>3.0</v>
      </c>
      <c r="AD146" s="38">
        <v>0.0</v>
      </c>
      <c r="AE146" s="38">
        <v>1.0</v>
      </c>
      <c r="AF146" s="38">
        <v>2.0</v>
      </c>
      <c r="AJ146" s="20"/>
      <c r="AK146" s="20"/>
      <c r="AL146" s="20"/>
      <c r="AM146" s="20"/>
    </row>
    <row r="147">
      <c r="A147" s="35" t="s">
        <v>30</v>
      </c>
      <c r="B147" s="39">
        <f t="shared" ref="B147:U147" si="44">B145/B146</f>
        <v>925.9456933</v>
      </c>
      <c r="C147" s="39">
        <f t="shared" si="44"/>
        <v>1837.43044</v>
      </c>
      <c r="D147" s="39">
        <f t="shared" si="44"/>
        <v>2536.03372</v>
      </c>
      <c r="E147" s="39" t="str">
        <f t="shared" si="44"/>
        <v>#DIV/0!</v>
      </c>
      <c r="F147" s="39">
        <f t="shared" si="44"/>
        <v>537.68969</v>
      </c>
      <c r="G147" s="39">
        <f t="shared" si="44"/>
        <v>1287.26354</v>
      </c>
      <c r="H147" s="39">
        <f t="shared" si="44"/>
        <v>1216.17532</v>
      </c>
      <c r="I147" s="39">
        <f t="shared" si="44"/>
        <v>2923.61788</v>
      </c>
      <c r="J147" s="39">
        <f t="shared" si="44"/>
        <v>606.3156</v>
      </c>
      <c r="K147" s="39">
        <f t="shared" si="44"/>
        <v>2866.34972</v>
      </c>
      <c r="L147" s="39">
        <f t="shared" si="44"/>
        <v>668.2337143</v>
      </c>
      <c r="M147" s="39">
        <f t="shared" si="44"/>
        <v>1115.60464</v>
      </c>
      <c r="N147" s="39">
        <f t="shared" si="44"/>
        <v>956.7149467</v>
      </c>
      <c r="O147" s="39">
        <f t="shared" si="44"/>
        <v>2901.29896</v>
      </c>
      <c r="P147" s="38">
        <f t="shared" si="44"/>
        <v>435.844432</v>
      </c>
      <c r="Q147" s="38">
        <f t="shared" si="44"/>
        <v>936.50359</v>
      </c>
      <c r="R147" s="38">
        <f t="shared" si="44"/>
        <v>1273.61416</v>
      </c>
      <c r="S147" s="38">
        <f t="shared" si="44"/>
        <v>998.80932</v>
      </c>
      <c r="T147" s="38">
        <f t="shared" si="44"/>
        <v>908.2451733</v>
      </c>
      <c r="U147" s="38">
        <f t="shared" si="44"/>
        <v>1231.961547</v>
      </c>
      <c r="V147" s="38">
        <f>V117/V146</f>
        <v>0</v>
      </c>
      <c r="W147" s="38">
        <f t="shared" ref="W147:AF147" si="45">W145/W146</f>
        <v>2214.28184</v>
      </c>
      <c r="X147" s="38">
        <f t="shared" si="45"/>
        <v>782.69832</v>
      </c>
      <c r="Y147" s="38">
        <f t="shared" si="45"/>
        <v>1524.98564</v>
      </c>
      <c r="Z147" s="38">
        <f t="shared" si="45"/>
        <v>1232.798213</v>
      </c>
      <c r="AA147" s="38">
        <f t="shared" si="45"/>
        <v>863.5404</v>
      </c>
      <c r="AB147" s="38">
        <f t="shared" si="45"/>
        <v>491.64876</v>
      </c>
      <c r="AC147" s="38">
        <f t="shared" si="45"/>
        <v>805.87064</v>
      </c>
      <c r="AD147" s="38" t="str">
        <f t="shared" si="45"/>
        <v>#DIV/0!</v>
      </c>
      <c r="AE147" s="38">
        <f t="shared" si="45"/>
        <v>1885.0602</v>
      </c>
      <c r="AF147" s="38">
        <f t="shared" si="45"/>
        <v>843.4855</v>
      </c>
      <c r="AJ147" s="40"/>
      <c r="AK147" s="40"/>
      <c r="AL147" s="40"/>
      <c r="AM147" s="40"/>
    </row>
    <row r="148">
      <c r="A148" s="35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87"/>
      <c r="Q148" s="38"/>
      <c r="R148" s="38"/>
      <c r="S148" s="38"/>
      <c r="T148" s="38"/>
      <c r="U148" s="38"/>
      <c r="V148" s="38"/>
      <c r="W148" s="38"/>
      <c r="X148" s="38"/>
      <c r="Y148" s="87"/>
      <c r="Z148" s="38"/>
      <c r="AA148" s="38"/>
      <c r="AB148" s="87"/>
      <c r="AC148" s="38"/>
      <c r="AD148" s="38"/>
      <c r="AE148" s="38"/>
      <c r="AJ148" s="40"/>
      <c r="AK148" s="40"/>
      <c r="AL148" s="40"/>
      <c r="AM148" s="40"/>
    </row>
    <row r="149">
      <c r="A149" s="74"/>
      <c r="B149" s="2"/>
      <c r="C149" s="3"/>
      <c r="D149" s="3"/>
      <c r="E149" s="3"/>
      <c r="F149" s="75"/>
      <c r="G149" s="75"/>
      <c r="H149" s="3"/>
      <c r="I149" s="75"/>
      <c r="J149" s="75"/>
      <c r="K149" s="75"/>
      <c r="L149" s="3"/>
      <c r="M149" s="76"/>
      <c r="N149" s="76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0"/>
      <c r="AK149" s="20"/>
      <c r="AL149" s="20"/>
      <c r="AM149" s="20"/>
    </row>
    <row r="150">
      <c r="A150" s="7"/>
      <c r="B150" s="9"/>
      <c r="C150" s="9"/>
      <c r="D150" s="10"/>
      <c r="E150" s="9"/>
      <c r="F150" s="9"/>
      <c r="G150" s="45"/>
      <c r="H150" s="9"/>
      <c r="I150" s="9"/>
      <c r="J150" s="9"/>
      <c r="K150" s="98"/>
      <c r="L150" s="78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14"/>
      <c r="AK150" s="14"/>
      <c r="AL150" s="15"/>
      <c r="AM150" s="14"/>
    </row>
    <row r="151">
      <c r="A151" s="7"/>
      <c r="B151" s="9"/>
      <c r="C151" s="9"/>
      <c r="D151" s="10"/>
      <c r="E151" s="9"/>
      <c r="F151" s="9"/>
      <c r="G151" s="45"/>
      <c r="H151" s="9"/>
      <c r="I151" s="9"/>
      <c r="J151" s="9"/>
      <c r="L151" s="78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17"/>
      <c r="AK151" s="14"/>
      <c r="AL151" s="18"/>
      <c r="AM151" s="18"/>
    </row>
    <row r="152">
      <c r="A152" s="7"/>
      <c r="B152" s="9"/>
      <c r="C152" s="19"/>
      <c r="D152" s="10"/>
      <c r="E152" s="9"/>
      <c r="F152" s="9"/>
      <c r="G152" s="45"/>
      <c r="H152" s="9"/>
      <c r="I152" s="9"/>
      <c r="J152" s="9"/>
      <c r="K152" s="9"/>
      <c r="L152" s="78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20"/>
      <c r="AK152" s="20"/>
      <c r="AL152" s="20"/>
      <c r="AM152" s="20"/>
    </row>
    <row r="153">
      <c r="A153" s="25"/>
      <c r="B153" s="22"/>
      <c r="C153" s="23"/>
      <c r="D153" s="23"/>
      <c r="E153" s="23"/>
      <c r="F153" s="23"/>
      <c r="G153" s="23"/>
      <c r="H153" s="23"/>
      <c r="I153" s="23"/>
      <c r="J153" s="23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0"/>
      <c r="AK153" s="20"/>
      <c r="AL153" s="20"/>
      <c r="AM153" s="20"/>
    </row>
    <row r="154">
      <c r="A154" s="71"/>
      <c r="B154" s="27"/>
      <c r="C154" s="28"/>
      <c r="D154" s="28"/>
      <c r="E154" s="28"/>
      <c r="F154" s="29"/>
      <c r="G154" s="29"/>
      <c r="H154" s="28"/>
      <c r="I154" s="28"/>
      <c r="J154" s="29"/>
      <c r="K154" s="29"/>
      <c r="L154" s="28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20"/>
      <c r="AK154" s="20"/>
      <c r="AL154" s="20"/>
      <c r="AM154" s="20"/>
    </row>
    <row r="155">
      <c r="A155" s="7"/>
      <c r="B155" s="80"/>
      <c r="C155" s="80"/>
      <c r="D155" s="10"/>
      <c r="E155" s="19"/>
      <c r="F155" s="9"/>
      <c r="G155" s="81"/>
      <c r="H155" s="9"/>
      <c r="I155" s="12"/>
      <c r="J155" s="12"/>
      <c r="K155" s="9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14"/>
      <c r="AK155" s="14"/>
      <c r="AL155" s="15"/>
      <c r="AM155" s="14"/>
    </row>
    <row r="156">
      <c r="A156" s="7"/>
      <c r="B156" s="80"/>
      <c r="C156" s="80"/>
      <c r="D156" s="10"/>
      <c r="E156" s="78"/>
      <c r="F156" s="9"/>
      <c r="G156" s="81"/>
      <c r="H156" s="16"/>
      <c r="I156" s="12"/>
      <c r="J156" s="12"/>
      <c r="K156" s="83"/>
      <c r="L156" s="79"/>
      <c r="M156" s="79"/>
      <c r="N156" s="79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17"/>
      <c r="AK156" s="14"/>
      <c r="AL156" s="18"/>
      <c r="AM156" s="18"/>
    </row>
    <row r="157">
      <c r="A157" s="7"/>
      <c r="B157" s="80"/>
      <c r="C157" s="77"/>
      <c r="D157" s="10"/>
      <c r="E157" s="9"/>
      <c r="F157" s="9"/>
      <c r="G157" s="81"/>
      <c r="H157" s="9"/>
      <c r="I157" s="12"/>
      <c r="J157" s="12"/>
      <c r="K157" s="12"/>
      <c r="L157" s="84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20"/>
      <c r="AK157" s="20"/>
      <c r="AL157" s="20"/>
      <c r="AM157" s="20"/>
    </row>
    <row r="158">
      <c r="A158" s="51"/>
      <c r="B158" s="78"/>
      <c r="C158" s="79"/>
      <c r="D158" s="79"/>
      <c r="E158" s="51"/>
      <c r="F158" s="51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20"/>
      <c r="AK158" s="20"/>
      <c r="AL158" s="20"/>
      <c r="AM158" s="20"/>
    </row>
    <row r="159">
      <c r="A159" s="51"/>
      <c r="B159" s="78"/>
      <c r="C159" s="79"/>
      <c r="D159" s="85"/>
      <c r="E159" s="79"/>
      <c r="F159" s="85"/>
      <c r="G159" s="85"/>
      <c r="H159" s="85"/>
      <c r="I159" s="85"/>
      <c r="J159" s="85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20"/>
      <c r="AK159" s="20"/>
      <c r="AL159" s="20"/>
      <c r="AM159" s="20"/>
    </row>
    <row r="160">
      <c r="A160" s="51"/>
      <c r="B160" s="78"/>
      <c r="C160" s="79"/>
      <c r="D160" s="85"/>
      <c r="E160" s="79"/>
      <c r="F160" s="85"/>
      <c r="G160" s="85"/>
      <c r="H160" s="85"/>
      <c r="I160" s="85"/>
      <c r="J160" s="85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79"/>
      <c r="AD160" s="79"/>
      <c r="AE160" s="79"/>
      <c r="AF160" s="79"/>
      <c r="AG160" s="79"/>
      <c r="AH160" s="79"/>
      <c r="AI160" s="79"/>
      <c r="AJ160" s="20"/>
      <c r="AK160" s="20"/>
      <c r="AL160" s="20"/>
      <c r="AM160" s="20"/>
    </row>
    <row r="161">
      <c r="A161" s="72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30"/>
      <c r="AH161" s="30"/>
      <c r="AI161" s="30"/>
      <c r="AJ161" s="20"/>
      <c r="AK161" s="20"/>
      <c r="AL161" s="20"/>
      <c r="AM161" s="20"/>
    </row>
    <row r="162">
      <c r="A162" s="72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86"/>
      <c r="AH162" s="86"/>
      <c r="AI162" s="86"/>
      <c r="AJ162" s="18"/>
      <c r="AK162" s="18"/>
      <c r="AL162" s="18"/>
      <c r="AM162" s="18"/>
    </row>
    <row r="163">
      <c r="A163" s="4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8"/>
      <c r="AE163" s="39"/>
      <c r="AF163" s="87"/>
      <c r="AG163" s="87"/>
      <c r="AH163" s="87"/>
      <c r="AI163" s="87"/>
      <c r="AJ163" s="87"/>
      <c r="AK163" s="87"/>
      <c r="AL163" s="87"/>
      <c r="AM163" s="87"/>
    </row>
    <row r="164">
      <c r="A164" s="49"/>
      <c r="B164" s="39"/>
      <c r="C164" s="39"/>
      <c r="D164" s="39"/>
      <c r="E164" s="39"/>
      <c r="F164" s="39"/>
      <c r="G164" s="39"/>
      <c r="H164" s="39"/>
      <c r="I164" s="39"/>
      <c r="J164" s="38"/>
      <c r="K164" s="38"/>
      <c r="L164" s="38"/>
      <c r="M164" s="38"/>
      <c r="N164" s="38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8"/>
      <c r="AE164" s="39"/>
      <c r="AF164" s="51"/>
      <c r="AG164" s="51"/>
      <c r="AH164" s="51"/>
      <c r="AI164" s="51"/>
      <c r="AJ164" s="20"/>
      <c r="AK164" s="20"/>
      <c r="AL164" s="20"/>
      <c r="AM164" s="20"/>
    </row>
    <row r="165">
      <c r="A165" s="35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87"/>
      <c r="AG165" s="87"/>
      <c r="AH165" s="87"/>
      <c r="AI165" s="87"/>
      <c r="AJ165" s="87"/>
      <c r="AK165" s="87"/>
      <c r="AL165" s="87"/>
      <c r="AM165" s="87"/>
    </row>
    <row r="166">
      <c r="A166" s="24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87"/>
      <c r="N166" s="87"/>
      <c r="O166" s="78"/>
      <c r="P166" s="78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40"/>
      <c r="AK166" s="40"/>
      <c r="AL166" s="40"/>
      <c r="AM166" s="40"/>
    </row>
    <row r="167">
      <c r="A167" s="71"/>
      <c r="B167" s="27"/>
      <c r="C167" s="27"/>
      <c r="D167" s="27"/>
      <c r="E167" s="27"/>
      <c r="F167" s="88"/>
      <c r="G167" s="88"/>
      <c r="H167" s="27"/>
      <c r="I167" s="28"/>
      <c r="J167" s="29"/>
      <c r="K167" s="29"/>
      <c r="L167" s="2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20"/>
      <c r="AK167" s="20"/>
      <c r="AL167" s="20"/>
      <c r="AM167" s="20"/>
    </row>
    <row r="168">
      <c r="A168" s="7"/>
      <c r="B168" s="9"/>
      <c r="C168" s="8"/>
      <c r="D168" s="89"/>
      <c r="E168" s="19"/>
      <c r="F168" s="9"/>
      <c r="G168" s="9"/>
      <c r="H168" s="19"/>
      <c r="I168" s="78"/>
      <c r="J168" s="82"/>
      <c r="K168" s="78"/>
      <c r="L168" s="78"/>
      <c r="M168" s="87"/>
      <c r="N168" s="87"/>
      <c r="O168" s="78"/>
      <c r="P168" s="78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14"/>
      <c r="AK168" s="14"/>
      <c r="AL168" s="15"/>
      <c r="AM168" s="14"/>
    </row>
    <row r="169">
      <c r="A169" s="7"/>
      <c r="B169" s="9"/>
      <c r="C169" s="9"/>
      <c r="D169" s="89"/>
      <c r="E169" s="78"/>
      <c r="F169" s="9"/>
      <c r="G169" s="9"/>
      <c r="H169" s="78"/>
      <c r="I169" s="78"/>
      <c r="J169" s="90"/>
      <c r="K169" s="78"/>
      <c r="L169" s="78"/>
      <c r="M169" s="78"/>
      <c r="N169" s="78"/>
      <c r="O169" s="9"/>
      <c r="P169" s="9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17"/>
      <c r="AK169" s="14"/>
      <c r="AL169" s="18"/>
      <c r="AM169" s="18"/>
    </row>
    <row r="170">
      <c r="A170" s="7"/>
      <c r="B170" s="9"/>
      <c r="C170" s="9"/>
      <c r="D170" s="89"/>
      <c r="E170" s="78"/>
      <c r="F170" s="9"/>
      <c r="G170" s="9"/>
      <c r="H170" s="78"/>
      <c r="I170" s="91"/>
      <c r="J170" s="91"/>
      <c r="K170" s="78"/>
      <c r="L170" s="78"/>
      <c r="M170" s="78"/>
      <c r="N170" s="78"/>
      <c r="O170" s="78"/>
      <c r="P170" s="78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20"/>
      <c r="AK170" s="20"/>
      <c r="AL170" s="20"/>
      <c r="AM170" s="20"/>
    </row>
    <row r="171">
      <c r="A171" s="51"/>
      <c r="B171" s="78"/>
      <c r="C171" s="78"/>
      <c r="D171" s="78"/>
      <c r="E171" s="78"/>
      <c r="F171" s="87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20"/>
      <c r="AK171" s="20"/>
      <c r="AL171" s="20"/>
      <c r="AM171" s="20"/>
    </row>
    <row r="172">
      <c r="A172" s="51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20"/>
      <c r="AK172" s="20"/>
      <c r="AL172" s="20"/>
      <c r="AM172" s="20"/>
    </row>
    <row r="173">
      <c r="A173" s="51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79"/>
      <c r="AD173" s="79"/>
      <c r="AE173" s="79"/>
      <c r="AF173" s="79"/>
      <c r="AG173" s="79"/>
      <c r="AH173" s="79"/>
      <c r="AI173" s="79"/>
      <c r="AJ173" s="20"/>
      <c r="AK173" s="20"/>
      <c r="AL173" s="20"/>
      <c r="AM173" s="20"/>
    </row>
    <row r="174">
      <c r="A174" s="72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79"/>
      <c r="AG174" s="79"/>
      <c r="AH174" s="79"/>
      <c r="AI174" s="79"/>
      <c r="AJ174" s="20"/>
      <c r="AK174" s="20"/>
      <c r="AL174" s="20"/>
      <c r="AM174" s="20"/>
    </row>
    <row r="175">
      <c r="A175" s="72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55"/>
      <c r="AH175" s="55"/>
      <c r="AI175" s="55"/>
      <c r="AJ175" s="18"/>
      <c r="AK175" s="18"/>
      <c r="AL175" s="18"/>
      <c r="AM175" s="18"/>
    </row>
    <row r="176">
      <c r="A176" s="4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51"/>
      <c r="AG176" s="85"/>
      <c r="AH176" s="85"/>
      <c r="AI176" s="85"/>
      <c r="AJ176" s="20"/>
      <c r="AK176" s="20"/>
      <c r="AL176" s="20"/>
      <c r="AM176" s="20"/>
    </row>
    <row r="177">
      <c r="A177" s="49"/>
      <c r="B177" s="39"/>
      <c r="C177" s="39"/>
      <c r="D177" s="39"/>
      <c r="E177" s="39"/>
      <c r="F177" s="39"/>
      <c r="G177" s="39"/>
      <c r="H177" s="39"/>
      <c r="I177" s="39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51"/>
      <c r="AG177" s="51"/>
      <c r="AH177" s="51"/>
      <c r="AI177" s="51"/>
      <c r="AJ177" s="20"/>
      <c r="AK177" s="20"/>
      <c r="AL177" s="20"/>
      <c r="AM177" s="20"/>
    </row>
    <row r="178">
      <c r="A178" s="35"/>
      <c r="B178" s="39"/>
      <c r="C178" s="39"/>
      <c r="D178" s="39"/>
      <c r="E178" s="39"/>
      <c r="F178" s="39"/>
      <c r="G178" s="39"/>
      <c r="H178" s="39"/>
      <c r="I178" s="39"/>
      <c r="J178" s="39"/>
      <c r="K178" s="55"/>
      <c r="L178" s="55"/>
      <c r="M178" s="55"/>
      <c r="N178" s="55"/>
      <c r="O178" s="38"/>
      <c r="P178" s="55"/>
      <c r="Q178" s="55"/>
      <c r="R178" s="55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55"/>
      <c r="AD178" s="38"/>
      <c r="AE178" s="55"/>
      <c r="AF178" s="55"/>
      <c r="AG178" s="55"/>
      <c r="AH178" s="55"/>
      <c r="AI178" s="55"/>
      <c r="AJ178" s="40"/>
      <c r="AK178" s="40"/>
      <c r="AL178" s="40"/>
      <c r="AM178" s="40"/>
    </row>
    <row r="179">
      <c r="A179" s="24"/>
      <c r="B179" s="78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40"/>
      <c r="AK179" s="40"/>
      <c r="AL179" s="40"/>
      <c r="AM179" s="40"/>
    </row>
    <row r="180">
      <c r="A180" s="71"/>
      <c r="B180" s="27"/>
      <c r="C180" s="28"/>
      <c r="D180" s="28"/>
      <c r="E180" s="28"/>
      <c r="F180" s="92"/>
      <c r="G180" s="92"/>
      <c r="H180" s="28"/>
      <c r="I180" s="28"/>
      <c r="J180" s="29"/>
      <c r="K180" s="29"/>
      <c r="L180" s="28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20"/>
      <c r="AK180" s="20"/>
      <c r="AL180" s="20"/>
      <c r="AM180" s="20"/>
    </row>
    <row r="181">
      <c r="A181" s="7"/>
      <c r="B181" s="9"/>
      <c r="C181" s="8"/>
      <c r="D181" s="93"/>
      <c r="E181" s="19"/>
      <c r="F181" s="9"/>
      <c r="G181" s="45"/>
      <c r="H181" s="9"/>
      <c r="I181" s="84"/>
      <c r="J181" s="84"/>
      <c r="K181" s="84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20"/>
      <c r="AK181" s="20"/>
      <c r="AL181" s="20"/>
      <c r="AM181" s="20"/>
    </row>
    <row r="182">
      <c r="A182" s="7"/>
      <c r="B182" s="9"/>
      <c r="C182" s="9"/>
      <c r="D182" s="93"/>
      <c r="E182" s="78"/>
      <c r="F182" s="9"/>
      <c r="G182" s="45"/>
      <c r="H182" s="9"/>
      <c r="I182" s="87"/>
      <c r="J182" s="79"/>
      <c r="K182" s="79"/>
      <c r="L182" s="79"/>
      <c r="M182" s="79"/>
      <c r="N182" s="79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18"/>
      <c r="AK182" s="18"/>
      <c r="AL182" s="18"/>
      <c r="AM182" s="18"/>
    </row>
    <row r="183">
      <c r="A183" s="7"/>
      <c r="B183" s="9"/>
      <c r="C183" s="8"/>
      <c r="D183" s="93"/>
      <c r="E183" s="78"/>
      <c r="F183" s="9"/>
      <c r="G183" s="45"/>
      <c r="H183" s="9"/>
      <c r="I183" s="87"/>
      <c r="J183" s="91"/>
      <c r="K183" s="84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20"/>
      <c r="AK183" s="20"/>
      <c r="AL183" s="20"/>
      <c r="AM183" s="20"/>
    </row>
    <row r="184">
      <c r="A184" s="51"/>
      <c r="B184" s="78"/>
      <c r="C184" s="79"/>
      <c r="D184" s="79"/>
      <c r="E184" s="51"/>
      <c r="F184" s="51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20"/>
      <c r="AK184" s="20"/>
      <c r="AL184" s="20"/>
      <c r="AM184" s="20"/>
    </row>
    <row r="185">
      <c r="A185" s="51"/>
      <c r="B185" s="78"/>
      <c r="C185" s="79"/>
      <c r="D185" s="85"/>
      <c r="E185" s="79"/>
      <c r="F185" s="85"/>
      <c r="G185" s="85"/>
      <c r="H185" s="85"/>
      <c r="I185" s="85"/>
      <c r="J185" s="85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20"/>
      <c r="AK185" s="20"/>
      <c r="AL185" s="20"/>
      <c r="AM185" s="20"/>
    </row>
    <row r="186">
      <c r="A186" s="7"/>
      <c r="B186" s="78"/>
      <c r="C186" s="79"/>
      <c r="D186" s="85"/>
      <c r="E186" s="79"/>
      <c r="F186" s="85"/>
      <c r="G186" s="85"/>
      <c r="H186" s="85"/>
      <c r="I186" s="85"/>
      <c r="J186" s="85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79"/>
      <c r="AD186" s="79"/>
      <c r="AE186" s="79"/>
      <c r="AF186" s="79"/>
      <c r="AG186" s="79"/>
      <c r="AH186" s="79"/>
      <c r="AI186" s="79"/>
      <c r="AJ186" s="20"/>
      <c r="AK186" s="20"/>
      <c r="AL186" s="20"/>
      <c r="AM186" s="20"/>
    </row>
    <row r="187">
      <c r="A187" s="7"/>
      <c r="B187" s="78"/>
      <c r="C187" s="85"/>
      <c r="D187" s="85"/>
      <c r="E187" s="85"/>
      <c r="F187" s="85"/>
      <c r="G187" s="85"/>
      <c r="H187" s="85"/>
      <c r="I187" s="85"/>
      <c r="J187" s="85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79"/>
      <c r="AD187" s="79"/>
      <c r="AE187" s="79"/>
      <c r="AF187" s="79"/>
      <c r="AG187" s="79"/>
      <c r="AH187" s="79"/>
      <c r="AI187" s="79"/>
      <c r="AJ187" s="20"/>
      <c r="AK187" s="20"/>
      <c r="AL187" s="20"/>
      <c r="AM187" s="20"/>
    </row>
    <row r="188">
      <c r="A188" s="7"/>
      <c r="B188" s="78"/>
      <c r="C188" s="85"/>
      <c r="D188" s="85"/>
      <c r="E188" s="85"/>
      <c r="F188" s="85"/>
      <c r="G188" s="85"/>
      <c r="H188" s="85"/>
      <c r="I188" s="85"/>
      <c r="J188" s="85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79"/>
      <c r="AD188" s="79"/>
      <c r="AE188" s="79"/>
      <c r="AF188" s="79"/>
      <c r="AG188" s="79"/>
      <c r="AH188" s="79"/>
      <c r="AI188" s="79"/>
      <c r="AJ188" s="20"/>
      <c r="AK188" s="20"/>
      <c r="AL188" s="20"/>
      <c r="AM188" s="20"/>
    </row>
    <row r="189">
      <c r="A189" s="72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J189" s="20"/>
      <c r="AK189" s="20"/>
      <c r="AL189" s="20"/>
      <c r="AM189" s="20"/>
    </row>
    <row r="190">
      <c r="A190" s="72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J190" s="18"/>
      <c r="AK190" s="18"/>
      <c r="AL190" s="18"/>
      <c r="AM190" s="18"/>
    </row>
    <row r="191">
      <c r="A191" s="4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8"/>
      <c r="Y191" s="38"/>
      <c r="Z191" s="38"/>
      <c r="AA191" s="38"/>
      <c r="AB191" s="38"/>
      <c r="AC191" s="38"/>
      <c r="AD191" s="38"/>
      <c r="AE191" s="38"/>
      <c r="AJ191" s="20"/>
      <c r="AK191" s="20"/>
      <c r="AL191" s="20"/>
      <c r="AM191" s="20"/>
    </row>
    <row r="192">
      <c r="A192" s="49"/>
      <c r="B192" s="39"/>
      <c r="C192" s="39"/>
      <c r="D192" s="39"/>
      <c r="E192" s="39"/>
      <c r="F192" s="39"/>
      <c r="G192" s="39"/>
      <c r="H192" s="39"/>
      <c r="I192" s="39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J192" s="20"/>
      <c r="AK192" s="20"/>
      <c r="AL192" s="20"/>
      <c r="AM192" s="20"/>
    </row>
    <row r="193">
      <c r="A193" s="35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87"/>
      <c r="Q193" s="38"/>
      <c r="R193" s="38"/>
      <c r="S193" s="38"/>
      <c r="T193" s="38"/>
      <c r="U193" s="38"/>
      <c r="V193" s="38"/>
      <c r="W193" s="38"/>
      <c r="X193" s="38"/>
      <c r="Y193" s="87"/>
      <c r="Z193" s="38"/>
      <c r="AA193" s="38"/>
      <c r="AB193" s="87"/>
      <c r="AC193" s="38"/>
      <c r="AD193" s="38"/>
      <c r="AE193" s="38"/>
      <c r="AJ193" s="40"/>
      <c r="AK193" s="40"/>
      <c r="AL193" s="40"/>
      <c r="AM193" s="40"/>
    </row>
    <row r="194">
      <c r="A194" s="24"/>
      <c r="B194" s="78"/>
      <c r="C194" s="85"/>
      <c r="D194" s="85"/>
      <c r="E194" s="85"/>
      <c r="F194" s="85"/>
      <c r="G194" s="85"/>
      <c r="H194" s="85"/>
      <c r="I194" s="85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J194" s="20"/>
      <c r="AK194" s="20"/>
      <c r="AL194" s="20"/>
      <c r="AM194" s="20"/>
    </row>
  </sheetData>
  <conditionalFormatting sqref="G4 G59 G106 G152">
    <cfRule type="cellIs" dxfId="1" priority="1" operator="lessThan">
      <formula>"100%"</formula>
    </cfRule>
  </conditionalFormatting>
  <conditionalFormatting sqref="G4 G59 G106 G152">
    <cfRule type="cellIs" dxfId="4" priority="2" operator="greaterThan">
      <formula>"100%"</formula>
    </cfRule>
  </conditionalFormatting>
  <conditionalFormatting sqref="C3 C58 C105 C151">
    <cfRule type="cellIs" dxfId="4" priority="3" operator="greaterThan">
      <formula>B4/B2</formula>
    </cfRule>
  </conditionalFormatting>
  <conditionalFormatting sqref="C3 C58 C105 C151">
    <cfRule type="cellIs" dxfId="1" priority="4" operator="lessThan">
      <formula>B4/B2</formula>
    </cfRule>
  </conditionalFormatting>
  <conditionalFormatting sqref="G3 G58 G105 G151">
    <cfRule type="cellIs" dxfId="0" priority="5" operator="greaterThan">
      <formula>"100%"</formula>
    </cfRule>
  </conditionalFormatting>
  <conditionalFormatting sqref="G3 G58 G105 G151">
    <cfRule type="cellIs" dxfId="1" priority="6" operator="lessThan">
      <formula>"100%"</formula>
    </cfRule>
  </conditionalFormatting>
  <conditionalFormatting sqref="G7 G62 G109 G155">
    <cfRule type="cellIs" dxfId="0" priority="7" operator="lessThan">
      <formula>"100%"</formula>
    </cfRule>
  </conditionalFormatting>
  <conditionalFormatting sqref="G7 G62 G109 G155">
    <cfRule type="cellIs" dxfId="1" priority="8" operator="greaterThan">
      <formula>"100%"</formula>
    </cfRule>
  </conditionalFormatting>
  <conditionalFormatting sqref="G8 G63 G110 G156">
    <cfRule type="cellIs" dxfId="1" priority="9" operator="lessThan">
      <formula>"100%"</formula>
    </cfRule>
  </conditionalFormatting>
  <conditionalFormatting sqref="G8 G63 G110 G156">
    <cfRule type="cellIs" dxfId="0" priority="10" operator="greaterThan">
      <formula>"100%"</formula>
    </cfRule>
  </conditionalFormatting>
  <conditionalFormatting sqref="G9 G64 G111 G157">
    <cfRule type="cellIs" dxfId="0" priority="11" operator="greaterThan">
      <formula>"100%"</formula>
    </cfRule>
  </conditionalFormatting>
  <conditionalFormatting sqref="G9 G64 G111 G157">
    <cfRule type="cellIs" dxfId="1" priority="12" operator="lessThan">
      <formula>"100%"</formula>
    </cfRule>
  </conditionalFormatting>
  <conditionalFormatting sqref="H7 H62 H109 H155">
    <cfRule type="cellIs" dxfId="1" priority="13" operator="greaterThan">
      <formula>0</formula>
    </cfRule>
  </conditionalFormatting>
  <conditionalFormatting sqref="H7 H62 H109 H155">
    <cfRule type="cellIs" dxfId="0" priority="14" operator="lessThan">
      <formula>0</formula>
    </cfRule>
  </conditionalFormatting>
  <conditionalFormatting sqref="H9 H64 H111 H157">
    <cfRule type="cellIs" dxfId="0" priority="15" operator="greaterThan">
      <formula>0</formula>
    </cfRule>
  </conditionalFormatting>
  <conditionalFormatting sqref="H9 H64 H111 H157">
    <cfRule type="cellIs" dxfId="1" priority="16" operator="lessThan">
      <formula>0</formula>
    </cfRule>
  </conditionalFormatting>
  <conditionalFormatting sqref="F22 F77 F124 F170">
    <cfRule type="cellIs" dxfId="2" priority="17" operator="greaterThan">
      <formula>0</formula>
    </cfRule>
  </conditionalFormatting>
  <conditionalFormatting sqref="H20 H75 H122 H168">
    <cfRule type="cellIs" dxfId="1" priority="18" operator="greaterThan">
      <formula>0</formula>
    </cfRule>
  </conditionalFormatting>
  <conditionalFormatting sqref="H22 H77 H124 H170">
    <cfRule type="cellIs" dxfId="0" priority="19" operator="greaterThan">
      <formula>0</formula>
    </cfRule>
  </conditionalFormatting>
  <conditionalFormatting sqref="G35 G90 G137 G183">
    <cfRule type="cellIs" dxfId="4" priority="20" operator="greaterThan">
      <formula>"100%"</formula>
    </cfRule>
  </conditionalFormatting>
  <conditionalFormatting sqref="G35 G90 G137 G183">
    <cfRule type="cellIs" dxfId="1" priority="21" operator="lessThan">
      <formula>"100%"</formula>
    </cfRule>
  </conditionalFormatting>
  <conditionalFormatting sqref="G34 G89 G136 G182">
    <cfRule type="cellIs" dxfId="1" priority="22" operator="lessThan">
      <formula>"100%"</formula>
    </cfRule>
  </conditionalFormatting>
  <conditionalFormatting sqref="G34 G89 G136 G182">
    <cfRule type="cellIs" dxfId="0" priority="23" operator="greaterThan">
      <formula>"100%"</formula>
    </cfRule>
  </conditionalFormatting>
  <conditionalFormatting sqref="G33 G88 G135 G181">
    <cfRule type="cellIs" dxfId="0" priority="24" operator="lessThan">
      <formula>"100%"</formula>
    </cfRule>
  </conditionalFormatting>
  <conditionalFormatting sqref="G33 G88 G135 G181">
    <cfRule type="cellIs" dxfId="1" priority="25" operator="greaterThan">
      <formula>"100%"</formula>
    </cfRule>
  </conditionalFormatting>
  <conditionalFormatting sqref="H33 H88 H135 H181">
    <cfRule type="cellIs" dxfId="1" priority="26" operator="greaterThan">
      <formula>0</formula>
    </cfRule>
  </conditionalFormatting>
  <conditionalFormatting sqref="H33 H88 H135 H181">
    <cfRule type="cellIs" dxfId="0" priority="27" operator="lessThan">
      <formula>0</formula>
    </cfRule>
  </conditionalFormatting>
  <conditionalFormatting sqref="H35 H90 H137 H183">
    <cfRule type="cellIs" dxfId="0" priority="28" operator="greaterThan">
      <formula>0</formula>
    </cfRule>
  </conditionalFormatting>
  <conditionalFormatting sqref="H35 H90 H137 H183">
    <cfRule type="cellIs" dxfId="1" priority="29" operator="lessThan">
      <formula>0</formula>
    </cfRule>
  </conditionalFormatting>
  <conditionalFormatting sqref="G20 G75 G122 G168">
    <cfRule type="cellIs" dxfId="1" priority="30" operator="greaterThan">
      <formula>"100%"</formula>
    </cfRule>
  </conditionalFormatting>
  <conditionalFormatting sqref="G20 G75 G122 G168">
    <cfRule type="cellIs" dxfId="0" priority="31" operator="lessThan">
      <formula>"100%"</formula>
    </cfRule>
  </conditionalFormatting>
  <conditionalFormatting sqref="G22 G77 G124 G170">
    <cfRule type="cellIs" dxfId="0" priority="32" operator="greaterThan">
      <formula>"100%"</formula>
    </cfRule>
  </conditionalFormatting>
  <conditionalFormatting sqref="G22 G77 G124 G170">
    <cfRule type="cellIs" dxfId="1" priority="33" operator="lessThan">
      <formula>"100%"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29"/>
    <col customWidth="1" min="2" max="3" width="12.14"/>
    <col customWidth="1" min="4" max="4" width="13.29"/>
    <col customWidth="1" min="5" max="7" width="12.14"/>
    <col customWidth="1" min="8" max="8" width="15.71"/>
    <col customWidth="1" min="9" max="32" width="12.14"/>
  </cols>
  <sheetData>
    <row r="1">
      <c r="A1" s="100" t="s">
        <v>92</v>
      </c>
      <c r="B1" s="101" t="s">
        <v>1</v>
      </c>
      <c r="C1" s="102" t="s">
        <v>2</v>
      </c>
      <c r="D1" s="102" t="str">
        <f>CONCATENATE("Выполнено ",INT(M3/M2*100),"%")</f>
        <v>Выполнено 22%</v>
      </c>
      <c r="E1" s="102" t="s">
        <v>4</v>
      </c>
      <c r="F1" s="103" t="s">
        <v>5</v>
      </c>
      <c r="G1" s="103" t="s">
        <v>6</v>
      </c>
      <c r="H1" s="104" t="s">
        <v>7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 t="shared" ref="B2:C2" si="1">B8+B17</f>
        <v>250</v>
      </c>
      <c r="C2" s="9">
        <f t="shared" si="1"/>
        <v>81</v>
      </c>
      <c r="D2" s="10">
        <f>C2/B2</f>
        <v>0.324</v>
      </c>
      <c r="E2" s="9">
        <f>B2-C2</f>
        <v>169</v>
      </c>
      <c r="F2" s="9">
        <f>C2/M3*M2</f>
        <v>358.7142857</v>
      </c>
      <c r="G2" s="10">
        <f t="shared" ref="G2:G4" si="2">F2/B2</f>
        <v>1.434857143</v>
      </c>
      <c r="H2" s="9">
        <f>F2-B2</f>
        <v>108.7142857</v>
      </c>
      <c r="I2" s="106">
        <f>E2/(M2-M3)</f>
        <v>7.041666667</v>
      </c>
      <c r="J2" s="46">
        <f>C2/M3</f>
        <v>11.57142857</v>
      </c>
      <c r="K2" s="107"/>
      <c r="M2" s="91" t="str">
        <f>LEFT(N2, 2)</f>
        <v>31</v>
      </c>
      <c r="N2" s="108">
        <f>DATE(YEAR(TODAY()),MONTH(TODAY())+1,1)-1</f>
        <v>44561</v>
      </c>
    </row>
    <row r="3">
      <c r="A3" s="105" t="s">
        <v>94</v>
      </c>
      <c r="B3" s="8">
        <f>B4/B2</f>
        <v>1140</v>
      </c>
      <c r="C3" s="9">
        <f>IFERROR(C4/C2,"-")</f>
        <v>994.158642</v>
      </c>
      <c r="D3" s="10"/>
      <c r="E3" s="109"/>
      <c r="F3" s="9">
        <f>F4/F2</f>
        <v>994.158642</v>
      </c>
      <c r="G3" s="10">
        <f t="shared" si="2"/>
        <v>0.8720689842</v>
      </c>
      <c r="H3" s="109"/>
      <c r="I3" s="109"/>
      <c r="J3" s="107"/>
      <c r="K3" s="107"/>
      <c r="M3" s="91">
        <f>LEFT(N3, 2)-1</f>
        <v>7</v>
      </c>
      <c r="N3" s="108">
        <f>TODAY()</f>
        <v>44538</v>
      </c>
    </row>
    <row r="4">
      <c r="A4" s="105" t="s">
        <v>95</v>
      </c>
      <c r="B4" s="9">
        <f t="shared" ref="B4:C4" si="3">B10+B19</f>
        <v>285000</v>
      </c>
      <c r="C4" s="9">
        <f t="shared" si="3"/>
        <v>80526.85</v>
      </c>
      <c r="D4" s="10">
        <f>C4/B4</f>
        <v>0.2825503509</v>
      </c>
      <c r="E4" s="9">
        <f>B4-C4</f>
        <v>204473.15</v>
      </c>
      <c r="F4" s="9">
        <f>C4/M3*M2</f>
        <v>356618.9071</v>
      </c>
      <c r="G4" s="10">
        <f t="shared" si="2"/>
        <v>1.251294411</v>
      </c>
      <c r="H4" s="9">
        <f>F4-B4</f>
        <v>71618.90714</v>
      </c>
      <c r="I4" s="19">
        <f>E4/(M2-M3)</f>
        <v>8519.714583</v>
      </c>
      <c r="J4" s="19">
        <f>C4/M3</f>
        <v>11503.83571</v>
      </c>
      <c r="K4" s="107"/>
    </row>
    <row r="6">
      <c r="A6" s="110" t="s">
        <v>96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97</v>
      </c>
      <c r="B7" s="27" t="s">
        <v>1</v>
      </c>
      <c r="C7" s="28" t="s">
        <v>2</v>
      </c>
      <c r="D7" s="28" t="s">
        <v>3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70.0</v>
      </c>
      <c r="C8" s="78">
        <f>SUM(B12:AF12)</f>
        <v>11</v>
      </c>
      <c r="D8" s="93">
        <f>C8/B8</f>
        <v>0.1571428571</v>
      </c>
      <c r="E8" s="91">
        <f>B8-C8</f>
        <v>59</v>
      </c>
      <c r="F8" s="78">
        <f>C8/M3*M2</f>
        <v>48.71428571</v>
      </c>
      <c r="G8" s="93">
        <f t="shared" ref="G8:G10" si="4">F8/B8</f>
        <v>0.6959183673</v>
      </c>
      <c r="H8" s="78">
        <f>F8-B8</f>
        <v>-21.28571429</v>
      </c>
      <c r="I8" s="114">
        <f>E8/(M2-M3)</f>
        <v>2.458333333</v>
      </c>
      <c r="J8" s="115">
        <f>C8/M3</f>
        <v>1.571428571</v>
      </c>
      <c r="K8" s="116"/>
      <c r="L8" s="13"/>
    </row>
    <row r="9">
      <c r="A9" s="112" t="s">
        <v>94</v>
      </c>
      <c r="B9" s="78">
        <f>B10/B8</f>
        <v>1500</v>
      </c>
      <c r="C9" s="78">
        <f>IFERROR(C10/C8,"-")</f>
        <v>2059.231818</v>
      </c>
      <c r="D9" s="93"/>
      <c r="E9" s="79"/>
      <c r="F9" s="78">
        <f>F10/F8</f>
        <v>2059.231818</v>
      </c>
      <c r="G9" s="93">
        <f t="shared" si="4"/>
        <v>1.372821212</v>
      </c>
      <c r="H9" s="116"/>
      <c r="I9" s="117"/>
      <c r="J9" s="116"/>
      <c r="K9" s="116"/>
      <c r="L9" s="13"/>
    </row>
    <row r="10">
      <c r="A10" s="112" t="s">
        <v>95</v>
      </c>
      <c r="B10" s="113">
        <v>105000.0</v>
      </c>
      <c r="C10" s="78">
        <f>SUM(B14:AF14)</f>
        <v>22651.55</v>
      </c>
      <c r="D10" s="93">
        <f>C10/B10</f>
        <v>0.2157290476</v>
      </c>
      <c r="E10" s="78">
        <f>B10-C10</f>
        <v>82348.45</v>
      </c>
      <c r="F10" s="78">
        <f>C10/M3*M2</f>
        <v>100314.0071</v>
      </c>
      <c r="G10" s="93">
        <f t="shared" si="4"/>
        <v>0.9553714966</v>
      </c>
      <c r="H10" s="78">
        <f>F10-B10</f>
        <v>-4685.992857</v>
      </c>
      <c r="I10" s="78">
        <f>E10/(M2-M3)</f>
        <v>3431.185417</v>
      </c>
      <c r="J10" s="91">
        <f>C10/M3</f>
        <v>3235.935714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22">
        <v>1.0</v>
      </c>
      <c r="C12" s="122">
        <v>1.0</v>
      </c>
      <c r="D12" s="122">
        <v>2.0</v>
      </c>
      <c r="E12" s="122">
        <v>0.0</v>
      </c>
      <c r="F12" s="122">
        <v>3.0</v>
      </c>
      <c r="G12" s="122">
        <v>4.0</v>
      </c>
      <c r="H12" s="122">
        <v>0.0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>
      <c r="A13" s="121" t="s">
        <v>94</v>
      </c>
      <c r="B13" s="123">
        <f t="shared" ref="B13:AF13" si="5">IFERROR(B14/B12,"-")</f>
        <v>3638.56</v>
      </c>
      <c r="C13" s="123">
        <f t="shared" si="5"/>
        <v>2801.65</v>
      </c>
      <c r="D13" s="123">
        <f t="shared" si="5"/>
        <v>1536.605</v>
      </c>
      <c r="E13" s="123" t="str">
        <f t="shared" si="5"/>
        <v>-</v>
      </c>
      <c r="F13" s="123">
        <f t="shared" si="5"/>
        <v>1093.496667</v>
      </c>
      <c r="G13" s="123">
        <f t="shared" si="5"/>
        <v>925.4</v>
      </c>
      <c r="H13" s="123" t="str">
        <f t="shared" si="5"/>
        <v>-</v>
      </c>
      <c r="I13" s="123" t="str">
        <f t="shared" si="5"/>
        <v>-</v>
      </c>
      <c r="J13" s="123" t="str">
        <f t="shared" si="5"/>
        <v>-</v>
      </c>
      <c r="K13" s="123" t="str">
        <f t="shared" si="5"/>
        <v>-</v>
      </c>
      <c r="L13" s="123" t="str">
        <f t="shared" si="5"/>
        <v>-</v>
      </c>
      <c r="M13" s="123" t="str">
        <f t="shared" si="5"/>
        <v>-</v>
      </c>
      <c r="N13" s="123" t="str">
        <f t="shared" si="5"/>
        <v>-</v>
      </c>
      <c r="O13" s="123" t="str">
        <f t="shared" si="5"/>
        <v>-</v>
      </c>
      <c r="P13" s="123" t="str">
        <f t="shared" si="5"/>
        <v>-</v>
      </c>
      <c r="Q13" s="123" t="str">
        <f t="shared" si="5"/>
        <v>-</v>
      </c>
      <c r="R13" s="123" t="str">
        <f t="shared" si="5"/>
        <v>-</v>
      </c>
      <c r="S13" s="123" t="str">
        <f t="shared" si="5"/>
        <v>-</v>
      </c>
      <c r="T13" s="123" t="str">
        <f t="shared" si="5"/>
        <v>-</v>
      </c>
      <c r="U13" s="123" t="str">
        <f t="shared" si="5"/>
        <v>-</v>
      </c>
      <c r="V13" s="123" t="str">
        <f t="shared" si="5"/>
        <v>-</v>
      </c>
      <c r="W13" s="123" t="str">
        <f t="shared" si="5"/>
        <v>-</v>
      </c>
      <c r="X13" s="123" t="str">
        <f t="shared" si="5"/>
        <v>-</v>
      </c>
      <c r="Y13" s="123" t="str">
        <f t="shared" si="5"/>
        <v>-</v>
      </c>
      <c r="Z13" s="123" t="str">
        <f t="shared" si="5"/>
        <v>-</v>
      </c>
      <c r="AA13" s="123" t="str">
        <f t="shared" si="5"/>
        <v>-</v>
      </c>
      <c r="AB13" s="123" t="str">
        <f t="shared" si="5"/>
        <v>-</v>
      </c>
      <c r="AC13" s="123" t="str">
        <f t="shared" si="5"/>
        <v>-</v>
      </c>
      <c r="AD13" s="123" t="str">
        <f t="shared" si="5"/>
        <v>-</v>
      </c>
      <c r="AE13" s="123" t="str">
        <f t="shared" si="5"/>
        <v>-</v>
      </c>
      <c r="AF13" s="123" t="str">
        <f t="shared" si="5"/>
        <v>-</v>
      </c>
    </row>
    <row r="14">
      <c r="A14" s="121" t="s">
        <v>99</v>
      </c>
      <c r="B14" s="122">
        <v>3638.56</v>
      </c>
      <c r="C14" s="122">
        <v>2801.65</v>
      </c>
      <c r="D14" s="122">
        <v>3073.21</v>
      </c>
      <c r="E14" s="122">
        <v>2823.33</v>
      </c>
      <c r="F14" s="122">
        <v>3280.49</v>
      </c>
      <c r="G14" s="122">
        <v>3701.6</v>
      </c>
      <c r="H14" s="122">
        <v>3332.71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85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100</v>
      </c>
      <c r="B16" s="27" t="s">
        <v>1</v>
      </c>
      <c r="C16" s="28" t="s">
        <v>2</v>
      </c>
      <c r="D16" s="28" t="s">
        <v>3</v>
      </c>
      <c r="E16" s="28" t="s">
        <v>4</v>
      </c>
      <c r="F16" s="29" t="s">
        <v>5</v>
      </c>
      <c r="G16" s="29" t="s">
        <v>6</v>
      </c>
      <c r="H16" s="28" t="s">
        <v>7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>
        <v>180.0</v>
      </c>
      <c r="C17" s="78">
        <f>SUM(B21:AF21)</f>
        <v>70</v>
      </c>
      <c r="D17" s="93">
        <f>C17/B17</f>
        <v>0.3888888889</v>
      </c>
      <c r="E17" s="91">
        <f>B17-C17</f>
        <v>110</v>
      </c>
      <c r="F17" s="78">
        <f>C17/M3*M2</f>
        <v>310</v>
      </c>
      <c r="G17" s="124">
        <f t="shared" ref="G17:G19" si="6">F17/B17</f>
        <v>1.722222222</v>
      </c>
      <c r="H17" s="78">
        <f>F17-B17</f>
        <v>130</v>
      </c>
      <c r="I17" s="114">
        <f>E17/(M2-M3)</f>
        <v>4.583333333</v>
      </c>
      <c r="J17" s="115">
        <f>C17/M3</f>
        <v>10</v>
      </c>
      <c r="K17" s="79"/>
      <c r="L17" s="79"/>
    </row>
    <row r="18">
      <c r="A18" s="112" t="s">
        <v>94</v>
      </c>
      <c r="B18" s="78">
        <f>B19/B17</f>
        <v>1000</v>
      </c>
      <c r="C18" s="78">
        <f>IFERROR(C19/C17,"-")</f>
        <v>826.79</v>
      </c>
      <c r="D18" s="93"/>
      <c r="E18" s="79"/>
      <c r="F18" s="78">
        <f>F19/F17</f>
        <v>826.79</v>
      </c>
      <c r="G18" s="93">
        <f t="shared" si="6"/>
        <v>0.82679</v>
      </c>
      <c r="H18" s="79"/>
      <c r="I18" s="78"/>
      <c r="J18" s="116"/>
      <c r="K18" s="79"/>
      <c r="L18" s="79"/>
    </row>
    <row r="19">
      <c r="A19" s="112" t="s">
        <v>95</v>
      </c>
      <c r="B19" s="113">
        <v>180000.0</v>
      </c>
      <c r="C19" s="78">
        <f>SUM(B23:AF23)</f>
        <v>57875.3</v>
      </c>
      <c r="D19" s="93">
        <f>C19/B19</f>
        <v>0.3215294444</v>
      </c>
      <c r="E19" s="78">
        <f>B19-C19</f>
        <v>122124.7</v>
      </c>
      <c r="F19" s="78">
        <f>C19/M3*M2</f>
        <v>256304.9</v>
      </c>
      <c r="G19" s="124">
        <f t="shared" si="6"/>
        <v>1.423916111</v>
      </c>
      <c r="H19" s="78">
        <f>F19-B19</f>
        <v>76304.9</v>
      </c>
      <c r="I19" s="78">
        <f>E19/(M2-M3)</f>
        <v>5088.529167</v>
      </c>
      <c r="J19" s="91">
        <f>C19/M3</f>
        <v>8267.9</v>
      </c>
      <c r="K19" s="79"/>
      <c r="L19" s="79"/>
    </row>
    <row r="20">
      <c r="A20" s="119" t="s">
        <v>101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>
        <v>9.0</v>
      </c>
      <c r="C21" s="122">
        <v>8.0</v>
      </c>
      <c r="D21" s="122">
        <v>7.0</v>
      </c>
      <c r="E21" s="122">
        <v>9.0</v>
      </c>
      <c r="F21" s="122">
        <v>10.0</v>
      </c>
      <c r="G21" s="122">
        <v>12.0</v>
      </c>
      <c r="H21" s="122">
        <v>15.0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>
      <c r="A22" s="121" t="s">
        <v>94</v>
      </c>
      <c r="B22" s="123">
        <f t="shared" ref="B22:AF22" si="7">IFERROR(B23/B21,"-")</f>
        <v>814.4688889</v>
      </c>
      <c r="C22" s="123">
        <f t="shared" si="7"/>
        <v>1001.595</v>
      </c>
      <c r="D22" s="123">
        <f t="shared" si="7"/>
        <v>1209.552857</v>
      </c>
      <c r="E22" s="123">
        <f t="shared" si="7"/>
        <v>777.0066667</v>
      </c>
      <c r="F22" s="123">
        <f t="shared" si="7"/>
        <v>901.554</v>
      </c>
      <c r="G22" s="123">
        <f t="shared" si="7"/>
        <v>822.0608333</v>
      </c>
      <c r="H22" s="123">
        <f t="shared" si="7"/>
        <v>546.1413333</v>
      </c>
      <c r="I22" s="123" t="str">
        <f t="shared" si="7"/>
        <v>-</v>
      </c>
      <c r="J22" s="123" t="str">
        <f t="shared" si="7"/>
        <v>-</v>
      </c>
      <c r="K22" s="123" t="str">
        <f t="shared" si="7"/>
        <v>-</v>
      </c>
      <c r="L22" s="123" t="str">
        <f t="shared" si="7"/>
        <v>-</v>
      </c>
      <c r="M22" s="123" t="str">
        <f t="shared" si="7"/>
        <v>-</v>
      </c>
      <c r="N22" s="123" t="str">
        <f t="shared" si="7"/>
        <v>-</v>
      </c>
      <c r="O22" s="123" t="str">
        <f t="shared" si="7"/>
        <v>-</v>
      </c>
      <c r="P22" s="123" t="str">
        <f t="shared" si="7"/>
        <v>-</v>
      </c>
      <c r="Q22" s="123" t="str">
        <f t="shared" si="7"/>
        <v>-</v>
      </c>
      <c r="R22" s="123" t="str">
        <f t="shared" si="7"/>
        <v>-</v>
      </c>
      <c r="S22" s="123" t="str">
        <f t="shared" si="7"/>
        <v>-</v>
      </c>
      <c r="T22" s="123" t="str">
        <f t="shared" si="7"/>
        <v>-</v>
      </c>
      <c r="U22" s="123" t="str">
        <f t="shared" si="7"/>
        <v>-</v>
      </c>
      <c r="V22" s="123" t="str">
        <f t="shared" si="7"/>
        <v>-</v>
      </c>
      <c r="W22" s="123" t="str">
        <f t="shared" si="7"/>
        <v>-</v>
      </c>
      <c r="X22" s="123" t="str">
        <f t="shared" si="7"/>
        <v>-</v>
      </c>
      <c r="Y22" s="123" t="str">
        <f t="shared" si="7"/>
        <v>-</v>
      </c>
      <c r="Z22" s="123" t="str">
        <f t="shared" si="7"/>
        <v>-</v>
      </c>
      <c r="AA22" s="123" t="str">
        <f t="shared" si="7"/>
        <v>-</v>
      </c>
      <c r="AB22" s="123" t="str">
        <f t="shared" si="7"/>
        <v>-</v>
      </c>
      <c r="AC22" s="123" t="str">
        <f t="shared" si="7"/>
        <v>-</v>
      </c>
      <c r="AD22" s="123" t="str">
        <f t="shared" si="7"/>
        <v>-</v>
      </c>
      <c r="AE22" s="123" t="str">
        <f t="shared" si="7"/>
        <v>-</v>
      </c>
      <c r="AF22" s="123" t="str">
        <f t="shared" si="7"/>
        <v>-</v>
      </c>
    </row>
    <row r="23">
      <c r="A23" s="121" t="s">
        <v>99</v>
      </c>
      <c r="B23" s="122">
        <v>7330.22</v>
      </c>
      <c r="C23" s="122">
        <v>8012.76</v>
      </c>
      <c r="D23" s="122">
        <v>8466.87</v>
      </c>
      <c r="E23" s="122">
        <v>6993.06</v>
      </c>
      <c r="F23" s="122">
        <v>9015.54</v>
      </c>
      <c r="G23" s="122">
        <v>9864.73</v>
      </c>
      <c r="H23" s="122">
        <v>8192.12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>
      <c r="A24" s="125"/>
      <c r="B24" s="9"/>
      <c r="C24" s="13"/>
      <c r="D24" s="13"/>
      <c r="E24" s="13"/>
      <c r="F24" s="126"/>
      <c r="G24" s="126"/>
      <c r="H24" s="16"/>
      <c r="I24" s="16"/>
      <c r="J24" s="126"/>
      <c r="K24" s="16"/>
    </row>
    <row r="25">
      <c r="A25" s="125"/>
      <c r="B25" s="9"/>
      <c r="C25" s="13"/>
      <c r="D25" s="13"/>
      <c r="E25" s="13"/>
      <c r="F25" s="126"/>
      <c r="G25" s="126"/>
      <c r="H25" s="16"/>
      <c r="I25" s="16"/>
      <c r="J25" s="126"/>
      <c r="K25" s="16"/>
    </row>
    <row r="26">
      <c r="A26" s="125"/>
      <c r="B26" s="9"/>
      <c r="C26" s="13"/>
      <c r="D26" s="13"/>
      <c r="E26" s="13"/>
      <c r="F26" s="126"/>
      <c r="G26" s="126"/>
      <c r="H26" s="16"/>
      <c r="I26" s="16"/>
      <c r="J26" s="126"/>
      <c r="K26" s="16"/>
    </row>
    <row r="27">
      <c r="A27" s="100" t="s">
        <v>102</v>
      </c>
      <c r="B27" s="101" t="s">
        <v>1</v>
      </c>
      <c r="C27" s="102" t="s">
        <v>2</v>
      </c>
      <c r="D27" s="127" t="s">
        <v>3</v>
      </c>
      <c r="E27" s="102" t="s">
        <v>4</v>
      </c>
      <c r="F27" s="103" t="s">
        <v>5</v>
      </c>
      <c r="G27" s="103" t="s">
        <v>6</v>
      </c>
      <c r="H27" s="104" t="s">
        <v>7</v>
      </c>
      <c r="I27" s="104" t="s">
        <v>8</v>
      </c>
      <c r="J27" s="103" t="s">
        <v>10</v>
      </c>
      <c r="K27" s="16"/>
    </row>
    <row r="28">
      <c r="A28" s="105" t="s">
        <v>93</v>
      </c>
      <c r="B28" s="9">
        <f t="shared" ref="B28:C28" si="8">B34+B43</f>
        <v>250</v>
      </c>
      <c r="C28" s="9">
        <f t="shared" si="8"/>
        <v>284</v>
      </c>
      <c r="D28" s="10">
        <f>C28/B28</f>
        <v>1.136</v>
      </c>
      <c r="E28" s="9">
        <f>B28-C28</f>
        <v>-34</v>
      </c>
      <c r="F28" s="9"/>
      <c r="G28" s="10"/>
      <c r="H28" s="9"/>
      <c r="I28" s="106"/>
      <c r="J28" s="46">
        <f>C28/30</f>
        <v>9.466666667</v>
      </c>
      <c r="K28" s="107"/>
      <c r="M28" s="91"/>
      <c r="N28" s="108"/>
    </row>
    <row r="29">
      <c r="A29" s="105" t="s">
        <v>94</v>
      </c>
      <c r="B29" s="8">
        <f>B30/B28</f>
        <v>1140</v>
      </c>
      <c r="C29" s="9">
        <f>IFERROR(C30/C28,"-")</f>
        <v>951.5008662</v>
      </c>
      <c r="D29" s="10"/>
      <c r="E29" s="109"/>
      <c r="F29" s="9"/>
      <c r="G29" s="10"/>
      <c r="H29" s="109"/>
      <c r="I29" s="109"/>
      <c r="J29" s="107"/>
      <c r="K29" s="107"/>
      <c r="M29" s="91"/>
      <c r="N29" s="108"/>
    </row>
    <row r="30">
      <c r="A30" s="105" t="s">
        <v>95</v>
      </c>
      <c r="B30" s="9">
        <f t="shared" ref="B30:C30" si="9">B36+B45</f>
        <v>285000</v>
      </c>
      <c r="C30" s="9">
        <f t="shared" si="9"/>
        <v>270226.246</v>
      </c>
      <c r="D30" s="10">
        <f>C30/B30</f>
        <v>0.9481622667</v>
      </c>
      <c r="E30" s="9">
        <f>B30-C30</f>
        <v>14773.754</v>
      </c>
      <c r="F30" s="9"/>
      <c r="G30" s="10"/>
      <c r="H30" s="9"/>
      <c r="I30" s="19"/>
      <c r="J30" s="19">
        <f>C30/30</f>
        <v>9007.541533</v>
      </c>
      <c r="K30" s="107"/>
    </row>
    <row r="32">
      <c r="A32" s="110" t="s">
        <v>96</v>
      </c>
      <c r="B32" s="22"/>
      <c r="C32" s="23"/>
      <c r="D32" s="23"/>
      <c r="E32" s="23"/>
      <c r="F32" s="23"/>
      <c r="G32" s="23"/>
      <c r="H32" s="23"/>
      <c r="I32" s="23"/>
      <c r="J32" s="23"/>
      <c r="K32" s="24"/>
      <c r="L32" s="24"/>
    </row>
    <row r="33">
      <c r="A33" s="26" t="s">
        <v>97</v>
      </c>
      <c r="B33" s="27" t="s">
        <v>1</v>
      </c>
      <c r="C33" s="28" t="s">
        <v>2</v>
      </c>
      <c r="D33" s="28" t="s">
        <v>3</v>
      </c>
      <c r="E33" s="28" t="s">
        <v>4</v>
      </c>
      <c r="F33" s="29" t="s">
        <v>5</v>
      </c>
      <c r="G33" s="29" t="s">
        <v>6</v>
      </c>
      <c r="H33" s="28" t="s">
        <v>7</v>
      </c>
      <c r="I33" s="28" t="s">
        <v>8</v>
      </c>
      <c r="J33" s="29" t="s">
        <v>10</v>
      </c>
      <c r="K33" s="16"/>
      <c r="L33" s="111"/>
    </row>
    <row r="34">
      <c r="A34" s="112" t="s">
        <v>93</v>
      </c>
      <c r="B34" s="113">
        <v>70.0</v>
      </c>
      <c r="C34" s="78">
        <f>SUM(B38:AF38)</f>
        <v>77</v>
      </c>
      <c r="D34" s="93">
        <f>C34/B34</f>
        <v>1.1</v>
      </c>
      <c r="E34" s="91">
        <f>B34-C34</f>
        <v>-7</v>
      </c>
      <c r="F34" s="78"/>
      <c r="G34" s="93"/>
      <c r="H34" s="78"/>
      <c r="I34" s="114"/>
      <c r="J34" s="115">
        <f>C34/30</f>
        <v>2.566666667</v>
      </c>
      <c r="K34" s="116"/>
      <c r="L34" s="13"/>
    </row>
    <row r="35">
      <c r="A35" s="112" t="s">
        <v>94</v>
      </c>
      <c r="B35" s="78">
        <f>B36/B34</f>
        <v>1500</v>
      </c>
      <c r="C35" s="78">
        <f>IFERROR(C36/C34,"-")</f>
        <v>1175.334026</v>
      </c>
      <c r="D35" s="93"/>
      <c r="E35" s="79"/>
      <c r="F35" s="78"/>
      <c r="G35" s="93"/>
      <c r="H35" s="116"/>
      <c r="I35" s="117"/>
      <c r="J35" s="116"/>
      <c r="K35" s="116"/>
      <c r="L35" s="13"/>
    </row>
    <row r="36">
      <c r="A36" s="112" t="s">
        <v>95</v>
      </c>
      <c r="B36" s="113">
        <v>105000.0</v>
      </c>
      <c r="C36" s="78">
        <f>SUM(B40:AF40)-164</f>
        <v>90500.72</v>
      </c>
      <c r="D36" s="93">
        <f>C36/B36</f>
        <v>0.861911619</v>
      </c>
      <c r="E36" s="78">
        <f>B36-C36</f>
        <v>14499.28</v>
      </c>
      <c r="F36" s="78"/>
      <c r="G36" s="93"/>
      <c r="H36" s="78"/>
      <c r="I36" s="78"/>
      <c r="J36" s="91">
        <f>C36/30</f>
        <v>3016.690667</v>
      </c>
      <c r="K36" s="118"/>
      <c r="L36" s="13"/>
    </row>
    <row r="37">
      <c r="A37" s="119" t="s">
        <v>98</v>
      </c>
      <c r="B37" s="120">
        <v>44501.0</v>
      </c>
      <c r="C37" s="120">
        <v>44502.0</v>
      </c>
      <c r="D37" s="120">
        <v>44503.0</v>
      </c>
      <c r="E37" s="120">
        <v>44504.0</v>
      </c>
      <c r="F37" s="120">
        <v>44505.0</v>
      </c>
      <c r="G37" s="120">
        <v>44506.0</v>
      </c>
      <c r="H37" s="120">
        <v>44507.0</v>
      </c>
      <c r="I37" s="120">
        <v>44508.0</v>
      </c>
      <c r="J37" s="120">
        <v>44509.0</v>
      </c>
      <c r="K37" s="120">
        <v>44510.0</v>
      </c>
      <c r="L37" s="120">
        <v>44511.0</v>
      </c>
      <c r="M37" s="120">
        <v>44512.0</v>
      </c>
      <c r="N37" s="120">
        <v>44513.0</v>
      </c>
      <c r="O37" s="120">
        <v>44514.0</v>
      </c>
      <c r="P37" s="120">
        <v>44515.0</v>
      </c>
      <c r="Q37" s="120">
        <v>44516.0</v>
      </c>
      <c r="R37" s="120">
        <v>44517.0</v>
      </c>
      <c r="S37" s="120">
        <v>44518.0</v>
      </c>
      <c r="T37" s="120">
        <v>44519.0</v>
      </c>
      <c r="U37" s="120">
        <v>44520.0</v>
      </c>
      <c r="V37" s="120">
        <v>44521.0</v>
      </c>
      <c r="W37" s="120">
        <v>44522.0</v>
      </c>
      <c r="X37" s="120">
        <v>44523.0</v>
      </c>
      <c r="Y37" s="120">
        <v>44524.0</v>
      </c>
      <c r="Z37" s="120">
        <v>44525.0</v>
      </c>
      <c r="AA37" s="120">
        <v>44526.0</v>
      </c>
      <c r="AB37" s="120">
        <v>44527.0</v>
      </c>
      <c r="AC37" s="120">
        <v>44528.0</v>
      </c>
      <c r="AD37" s="120">
        <v>44529.0</v>
      </c>
      <c r="AE37" s="120">
        <v>44530.0</v>
      </c>
      <c r="AF37" s="120"/>
    </row>
    <row r="38">
      <c r="A38" s="121" t="s">
        <v>93</v>
      </c>
      <c r="B38" s="122">
        <v>1.0</v>
      </c>
      <c r="C38" s="122">
        <v>4.0</v>
      </c>
      <c r="D38" s="122">
        <v>1.0</v>
      </c>
      <c r="E38" s="122">
        <v>3.0</v>
      </c>
      <c r="F38" s="122">
        <v>0.0</v>
      </c>
      <c r="G38" s="122">
        <v>3.0</v>
      </c>
      <c r="H38" s="122">
        <v>1.0</v>
      </c>
      <c r="I38" s="122">
        <v>2.0</v>
      </c>
      <c r="J38" s="122">
        <v>6.0</v>
      </c>
      <c r="K38" s="122">
        <v>4.0</v>
      </c>
      <c r="L38" s="122">
        <v>0.0</v>
      </c>
      <c r="M38" s="122">
        <v>2.0</v>
      </c>
      <c r="N38" s="122">
        <v>4.0</v>
      </c>
      <c r="O38" s="122">
        <v>3.0</v>
      </c>
      <c r="P38" s="122">
        <v>2.0</v>
      </c>
      <c r="Q38" s="122">
        <v>0.0</v>
      </c>
      <c r="R38" s="122">
        <v>6.0</v>
      </c>
      <c r="S38" s="122">
        <v>4.0</v>
      </c>
      <c r="T38" s="122">
        <v>1.0</v>
      </c>
      <c r="U38" s="122">
        <v>7.0</v>
      </c>
      <c r="V38" s="122">
        <v>1.0</v>
      </c>
      <c r="W38" s="122">
        <v>4.0</v>
      </c>
      <c r="X38" s="122">
        <v>2.0</v>
      </c>
      <c r="Y38" s="122">
        <v>2.0</v>
      </c>
      <c r="Z38" s="122">
        <v>1.0</v>
      </c>
      <c r="AA38" s="122">
        <v>3.0</v>
      </c>
      <c r="AB38" s="122">
        <v>3.0</v>
      </c>
      <c r="AC38" s="122">
        <v>4.0</v>
      </c>
      <c r="AD38" s="122">
        <v>1.0</v>
      </c>
      <c r="AE38" s="122">
        <v>2.0</v>
      </c>
      <c r="AF38" s="122"/>
    </row>
    <row r="39">
      <c r="A39" s="121" t="s">
        <v>94</v>
      </c>
      <c r="B39" s="123">
        <f t="shared" ref="B39:AE39" si="10">IFERROR(B40/B38,"-")</f>
        <v>2689.21</v>
      </c>
      <c r="C39" s="123">
        <f t="shared" si="10"/>
        <v>809.27</v>
      </c>
      <c r="D39" s="123">
        <f t="shared" si="10"/>
        <v>3215.11</v>
      </c>
      <c r="E39" s="123">
        <f t="shared" si="10"/>
        <v>776.98</v>
      </c>
      <c r="F39" s="123" t="str">
        <f t="shared" si="10"/>
        <v>-</v>
      </c>
      <c r="G39" s="123">
        <f t="shared" si="10"/>
        <v>919.5766667</v>
      </c>
      <c r="H39" s="123">
        <f t="shared" si="10"/>
        <v>3205.31</v>
      </c>
      <c r="I39" s="123">
        <f t="shared" si="10"/>
        <v>1844.41</v>
      </c>
      <c r="J39" s="123">
        <f t="shared" si="10"/>
        <v>566.5433333</v>
      </c>
      <c r="K39" s="123">
        <f t="shared" si="10"/>
        <v>778.035</v>
      </c>
      <c r="L39" s="123" t="str">
        <f t="shared" si="10"/>
        <v>-</v>
      </c>
      <c r="M39" s="123">
        <f t="shared" si="10"/>
        <v>1357.45</v>
      </c>
      <c r="N39" s="123">
        <f t="shared" si="10"/>
        <v>774.525</v>
      </c>
      <c r="O39" s="123">
        <f t="shared" si="10"/>
        <v>1120.57</v>
      </c>
      <c r="P39" s="123">
        <f t="shared" si="10"/>
        <v>1827.595</v>
      </c>
      <c r="Q39" s="123" t="str">
        <f t="shared" si="10"/>
        <v>-</v>
      </c>
      <c r="R39" s="123">
        <f t="shared" si="10"/>
        <v>513.1466667</v>
      </c>
      <c r="S39" s="123">
        <f t="shared" si="10"/>
        <v>755.235</v>
      </c>
      <c r="T39" s="123">
        <f t="shared" si="10"/>
        <v>2538.03</v>
      </c>
      <c r="U39" s="123">
        <f t="shared" si="10"/>
        <v>428.5785714</v>
      </c>
      <c r="V39" s="123">
        <f t="shared" si="10"/>
        <v>3695.49</v>
      </c>
      <c r="W39" s="123">
        <f t="shared" si="10"/>
        <v>1038.375</v>
      </c>
      <c r="X39" s="123">
        <f t="shared" si="10"/>
        <v>1643.785</v>
      </c>
      <c r="Y39" s="123">
        <f t="shared" si="10"/>
        <v>1474.3</v>
      </c>
      <c r="Z39" s="123">
        <f t="shared" si="10"/>
        <v>3000.66</v>
      </c>
      <c r="AA39" s="123">
        <f t="shared" si="10"/>
        <v>756.0566667</v>
      </c>
      <c r="AB39" s="123">
        <f t="shared" si="10"/>
        <v>1011.946667</v>
      </c>
      <c r="AC39" s="123">
        <f t="shared" si="10"/>
        <v>494.56</v>
      </c>
      <c r="AD39" s="123">
        <f t="shared" si="10"/>
        <v>2756.3</v>
      </c>
      <c r="AE39" s="123">
        <f t="shared" si="10"/>
        <v>1305.7</v>
      </c>
      <c r="AF39" s="123"/>
    </row>
    <row r="40">
      <c r="A40" s="121" t="s">
        <v>99</v>
      </c>
      <c r="B40" s="122">
        <v>2689.21</v>
      </c>
      <c r="C40" s="122">
        <v>3237.08</v>
      </c>
      <c r="D40" s="122">
        <v>3215.11</v>
      </c>
      <c r="E40" s="122">
        <v>2330.94</v>
      </c>
      <c r="F40" s="122">
        <v>2673.09</v>
      </c>
      <c r="G40" s="122">
        <v>2758.73</v>
      </c>
      <c r="H40" s="122">
        <v>3205.31</v>
      </c>
      <c r="I40" s="122">
        <v>3688.82</v>
      </c>
      <c r="J40" s="122">
        <v>3399.26</v>
      </c>
      <c r="K40" s="122">
        <v>3112.14</v>
      </c>
      <c r="L40" s="122">
        <v>2833.32</v>
      </c>
      <c r="M40" s="122">
        <v>2714.9</v>
      </c>
      <c r="N40" s="122">
        <v>3098.1</v>
      </c>
      <c r="O40" s="122">
        <v>3361.71</v>
      </c>
      <c r="P40" s="122">
        <v>3655.19</v>
      </c>
      <c r="Q40" s="122">
        <v>3318.14</v>
      </c>
      <c r="R40" s="122">
        <v>3078.88</v>
      </c>
      <c r="S40" s="122">
        <v>3020.94</v>
      </c>
      <c r="T40" s="122">
        <v>2538.03</v>
      </c>
      <c r="U40" s="122">
        <v>3000.05</v>
      </c>
      <c r="V40" s="122">
        <v>3695.49</v>
      </c>
      <c r="W40" s="122">
        <v>4153.5</v>
      </c>
      <c r="X40" s="122">
        <v>3287.57</v>
      </c>
      <c r="Y40" s="122">
        <v>2948.6</v>
      </c>
      <c r="Z40" s="122">
        <v>3000.66</v>
      </c>
      <c r="AA40" s="122">
        <v>2268.17</v>
      </c>
      <c r="AB40" s="122">
        <v>3035.84</v>
      </c>
      <c r="AC40" s="122">
        <v>1978.24</v>
      </c>
      <c r="AD40" s="122">
        <v>2756.3</v>
      </c>
      <c r="AE40" s="122">
        <v>2611.4</v>
      </c>
      <c r="AF40" s="122"/>
    </row>
    <row r="41">
      <c r="A41" s="51"/>
      <c r="B41" s="87"/>
      <c r="C41" s="85"/>
      <c r="D41" s="85"/>
      <c r="E41" s="85"/>
      <c r="F41" s="85"/>
      <c r="G41" s="85"/>
      <c r="H41" s="85"/>
      <c r="I41" s="85"/>
      <c r="J41" s="85"/>
      <c r="K41" s="51"/>
      <c r="L41" s="51"/>
    </row>
    <row r="42">
      <c r="A42" s="26" t="s">
        <v>100</v>
      </c>
      <c r="B42" s="27" t="s">
        <v>1</v>
      </c>
      <c r="C42" s="28" t="s">
        <v>2</v>
      </c>
      <c r="D42" s="28" t="s">
        <v>3</v>
      </c>
      <c r="E42" s="28" t="s">
        <v>4</v>
      </c>
      <c r="F42" s="29" t="s">
        <v>5</v>
      </c>
      <c r="G42" s="29" t="s">
        <v>6</v>
      </c>
      <c r="H42" s="28" t="s">
        <v>7</v>
      </c>
      <c r="I42" s="28" t="s">
        <v>8</v>
      </c>
      <c r="J42" s="29" t="s">
        <v>10</v>
      </c>
      <c r="K42" s="16"/>
      <c r="L42" s="51"/>
    </row>
    <row r="43">
      <c r="A43" s="112" t="s">
        <v>93</v>
      </c>
      <c r="B43" s="113">
        <v>180.0</v>
      </c>
      <c r="C43" s="78">
        <f>SUM(B47:AF47)</f>
        <v>207</v>
      </c>
      <c r="D43" s="93">
        <f>C43/B43</f>
        <v>1.15</v>
      </c>
      <c r="E43" s="91">
        <f>B43-C43</f>
        <v>-27</v>
      </c>
      <c r="F43" s="78"/>
      <c r="G43" s="124"/>
      <c r="H43" s="78"/>
      <c r="I43" s="114"/>
      <c r="J43" s="115">
        <f>C43/30</f>
        <v>6.9</v>
      </c>
      <c r="K43" s="79"/>
      <c r="L43" s="79"/>
    </row>
    <row r="44">
      <c r="A44" s="112" t="s">
        <v>94</v>
      </c>
      <c r="B44" s="78">
        <f>B45/B43</f>
        <v>1000</v>
      </c>
      <c r="C44" s="78">
        <f>IFERROR(C45/C43,"-")</f>
        <v>868.239256</v>
      </c>
      <c r="D44" s="93"/>
      <c r="E44" s="79"/>
      <c r="F44" s="78"/>
      <c r="G44" s="93"/>
      <c r="H44" s="79"/>
      <c r="I44" s="78"/>
      <c r="J44" s="116"/>
      <c r="K44" s="79"/>
      <c r="L44" s="79"/>
    </row>
    <row r="45">
      <c r="A45" s="112" t="s">
        <v>95</v>
      </c>
      <c r="B45" s="113">
        <v>180000.0</v>
      </c>
      <c r="C45" s="78">
        <f>SUM(B49:AF49)-797</f>
        <v>179725.526</v>
      </c>
      <c r="D45" s="93">
        <f>C45/B45</f>
        <v>0.9984751444</v>
      </c>
      <c r="E45" s="78">
        <f>B45-C45</f>
        <v>274.474</v>
      </c>
      <c r="F45" s="78"/>
      <c r="G45" s="124"/>
      <c r="H45" s="78"/>
      <c r="I45" s="78"/>
      <c r="J45" s="91">
        <f>C45/30</f>
        <v>5990.850867</v>
      </c>
      <c r="K45" s="79"/>
      <c r="L45" s="79"/>
    </row>
    <row r="46">
      <c r="A46" s="119" t="s">
        <v>101</v>
      </c>
      <c r="B46" s="120">
        <v>44501.0</v>
      </c>
      <c r="C46" s="120">
        <v>44502.0</v>
      </c>
      <c r="D46" s="120">
        <v>44503.0</v>
      </c>
      <c r="E46" s="120">
        <v>44504.0</v>
      </c>
      <c r="F46" s="120">
        <v>44505.0</v>
      </c>
      <c r="G46" s="120">
        <v>44506.0</v>
      </c>
      <c r="H46" s="120">
        <v>44507.0</v>
      </c>
      <c r="I46" s="120">
        <v>44508.0</v>
      </c>
      <c r="J46" s="120">
        <v>44509.0</v>
      </c>
      <c r="K46" s="120">
        <v>44510.0</v>
      </c>
      <c r="L46" s="120">
        <v>44511.0</v>
      </c>
      <c r="M46" s="120">
        <v>44512.0</v>
      </c>
      <c r="N46" s="120">
        <v>44513.0</v>
      </c>
      <c r="O46" s="120">
        <v>44514.0</v>
      </c>
      <c r="P46" s="120">
        <v>44515.0</v>
      </c>
      <c r="Q46" s="120">
        <v>44516.0</v>
      </c>
      <c r="R46" s="120">
        <v>44517.0</v>
      </c>
      <c r="S46" s="120">
        <v>44518.0</v>
      </c>
      <c r="T46" s="120">
        <v>44519.0</v>
      </c>
      <c r="U46" s="120">
        <v>44520.0</v>
      </c>
      <c r="V46" s="120">
        <v>44521.0</v>
      </c>
      <c r="W46" s="120">
        <v>44522.0</v>
      </c>
      <c r="X46" s="120">
        <v>44523.0</v>
      </c>
      <c r="Y46" s="120">
        <v>44524.0</v>
      </c>
      <c r="Z46" s="120">
        <v>44525.0</v>
      </c>
      <c r="AA46" s="120">
        <v>44526.0</v>
      </c>
      <c r="AB46" s="120">
        <v>44527.0</v>
      </c>
      <c r="AC46" s="120">
        <v>44528.0</v>
      </c>
      <c r="AD46" s="120">
        <v>44529.0</v>
      </c>
      <c r="AE46" s="120">
        <v>44530.0</v>
      </c>
      <c r="AF46" s="120"/>
    </row>
    <row r="47">
      <c r="A47" s="121" t="s">
        <v>93</v>
      </c>
      <c r="B47" s="122">
        <v>11.0</v>
      </c>
      <c r="C47" s="122">
        <v>7.0</v>
      </c>
      <c r="D47" s="122">
        <v>7.0</v>
      </c>
      <c r="E47" s="122">
        <v>7.0</v>
      </c>
      <c r="F47" s="122">
        <v>6.0</v>
      </c>
      <c r="G47" s="122">
        <v>4.0</v>
      </c>
      <c r="H47" s="122">
        <v>7.0</v>
      </c>
      <c r="I47" s="122">
        <v>6.0</v>
      </c>
      <c r="J47" s="122">
        <v>11.0</v>
      </c>
      <c r="K47" s="122">
        <v>6.0</v>
      </c>
      <c r="L47" s="122">
        <v>5.0</v>
      </c>
      <c r="M47" s="122">
        <v>6.0</v>
      </c>
      <c r="N47" s="122">
        <v>12.0</v>
      </c>
      <c r="O47" s="122">
        <v>6.0</v>
      </c>
      <c r="P47" s="122">
        <v>10.0</v>
      </c>
      <c r="Q47" s="122">
        <v>10.0</v>
      </c>
      <c r="R47" s="122">
        <v>5.0</v>
      </c>
      <c r="S47" s="122">
        <v>5.0</v>
      </c>
      <c r="T47" s="122">
        <v>7.0</v>
      </c>
      <c r="U47" s="122">
        <v>5.0</v>
      </c>
      <c r="V47" s="122">
        <v>4.0</v>
      </c>
      <c r="W47" s="122">
        <v>2.0</v>
      </c>
      <c r="X47" s="122">
        <v>8.0</v>
      </c>
      <c r="Y47" s="122">
        <v>10.0</v>
      </c>
      <c r="Z47" s="122">
        <v>8.0</v>
      </c>
      <c r="AA47" s="122">
        <v>3.0</v>
      </c>
      <c r="AB47" s="122">
        <v>8.0</v>
      </c>
      <c r="AC47" s="122">
        <v>8.0</v>
      </c>
      <c r="AD47" s="122">
        <v>6.0</v>
      </c>
      <c r="AE47" s="122">
        <v>7.0</v>
      </c>
      <c r="AF47" s="122"/>
    </row>
    <row r="48">
      <c r="A48" s="121" t="s">
        <v>94</v>
      </c>
      <c r="B48" s="123">
        <f t="shared" ref="B48:AE48" si="11">IFERROR(B49/B47,"-")</f>
        <v>719.0936364</v>
      </c>
      <c r="C48" s="123">
        <f t="shared" si="11"/>
        <v>1196.898571</v>
      </c>
      <c r="D48" s="123">
        <f t="shared" si="11"/>
        <v>789.8485714</v>
      </c>
      <c r="E48" s="123">
        <f t="shared" si="11"/>
        <v>781.0242857</v>
      </c>
      <c r="F48" s="123">
        <f t="shared" si="11"/>
        <v>910.5916667</v>
      </c>
      <c r="G48" s="123">
        <f t="shared" si="11"/>
        <v>1336.675</v>
      </c>
      <c r="H48" s="123">
        <f t="shared" si="11"/>
        <v>775.8228571</v>
      </c>
      <c r="I48" s="123">
        <f t="shared" si="11"/>
        <v>927.5016667</v>
      </c>
      <c r="J48" s="123">
        <f t="shared" si="11"/>
        <v>493.6045455</v>
      </c>
      <c r="K48" s="123">
        <f t="shared" si="11"/>
        <v>941.6283333</v>
      </c>
      <c r="L48" s="123">
        <f t="shared" si="11"/>
        <v>1051.156</v>
      </c>
      <c r="M48" s="123">
        <f t="shared" si="11"/>
        <v>897.972</v>
      </c>
      <c r="N48" s="123">
        <f t="shared" si="11"/>
        <v>581.143</v>
      </c>
      <c r="O48" s="123">
        <f t="shared" si="11"/>
        <v>932.548</v>
      </c>
      <c r="P48" s="123">
        <f t="shared" si="11"/>
        <v>726.811</v>
      </c>
      <c r="Q48" s="123">
        <f t="shared" si="11"/>
        <v>736.314</v>
      </c>
      <c r="R48" s="123">
        <f t="shared" si="11"/>
        <v>1151.364</v>
      </c>
      <c r="S48" s="123">
        <f t="shared" si="11"/>
        <v>1345.354</v>
      </c>
      <c r="T48" s="123">
        <f t="shared" si="11"/>
        <v>657.3657143</v>
      </c>
      <c r="U48" s="123">
        <f t="shared" si="11"/>
        <v>1098.468</v>
      </c>
      <c r="V48" s="123">
        <f t="shared" si="11"/>
        <v>1636.855</v>
      </c>
      <c r="W48" s="123">
        <f t="shared" si="11"/>
        <v>3297.265</v>
      </c>
      <c r="X48" s="123">
        <f t="shared" si="11"/>
        <v>779.14375</v>
      </c>
      <c r="Y48" s="123">
        <f t="shared" si="11"/>
        <v>722.634</v>
      </c>
      <c r="Z48" s="123">
        <f t="shared" si="11"/>
        <v>678.46</v>
      </c>
      <c r="AA48" s="123">
        <f t="shared" si="11"/>
        <v>1619.083333</v>
      </c>
      <c r="AB48" s="123">
        <f t="shared" si="11"/>
        <v>724.2425</v>
      </c>
      <c r="AC48" s="123">
        <f t="shared" si="11"/>
        <v>657.545</v>
      </c>
      <c r="AD48" s="123">
        <f t="shared" si="11"/>
        <v>890.8166667</v>
      </c>
      <c r="AE48" s="123">
        <f t="shared" si="11"/>
        <v>949.39</v>
      </c>
      <c r="AF48" s="123"/>
    </row>
    <row r="49">
      <c r="A49" s="121" t="s">
        <v>99</v>
      </c>
      <c r="B49" s="122">
        <v>7910.03</v>
      </c>
      <c r="C49" s="122">
        <v>8378.29</v>
      </c>
      <c r="D49" s="122">
        <v>5528.94</v>
      </c>
      <c r="E49" s="122">
        <v>5467.17</v>
      </c>
      <c r="F49" s="122">
        <v>5463.55</v>
      </c>
      <c r="G49" s="122">
        <v>5346.7</v>
      </c>
      <c r="H49" s="122">
        <v>5430.76</v>
      </c>
      <c r="I49" s="122">
        <v>5565.01</v>
      </c>
      <c r="J49" s="122">
        <v>5429.65</v>
      </c>
      <c r="K49" s="122">
        <v>5649.77</v>
      </c>
      <c r="L49" s="122">
        <v>5255.78</v>
      </c>
      <c r="M49" s="122">
        <v>5387.831999999999</v>
      </c>
      <c r="N49" s="122">
        <v>6973.716</v>
      </c>
      <c r="O49" s="122">
        <v>5595.288</v>
      </c>
      <c r="P49" s="122">
        <v>7268.11</v>
      </c>
      <c r="Q49" s="122">
        <v>7363.14</v>
      </c>
      <c r="R49" s="122">
        <v>5756.82</v>
      </c>
      <c r="S49" s="122">
        <v>6726.77</v>
      </c>
      <c r="T49" s="122">
        <v>4601.56</v>
      </c>
      <c r="U49" s="122">
        <v>5492.34</v>
      </c>
      <c r="V49" s="122">
        <v>6547.42</v>
      </c>
      <c r="W49" s="122">
        <v>6594.53</v>
      </c>
      <c r="X49" s="122">
        <v>6233.15</v>
      </c>
      <c r="Y49" s="122">
        <v>7226.34</v>
      </c>
      <c r="Z49" s="122">
        <v>5427.68</v>
      </c>
      <c r="AA49" s="122">
        <v>4857.25</v>
      </c>
      <c r="AB49" s="122">
        <v>5793.94</v>
      </c>
      <c r="AC49" s="122">
        <v>5260.36</v>
      </c>
      <c r="AD49" s="122">
        <v>5344.9</v>
      </c>
      <c r="AE49" s="122">
        <v>6645.73</v>
      </c>
      <c r="AF49" s="122"/>
    </row>
    <row r="50">
      <c r="A50" s="105"/>
      <c r="B50" s="9"/>
      <c r="C50" s="8"/>
      <c r="D50" s="10"/>
      <c r="E50" s="9"/>
      <c r="F50" s="9"/>
      <c r="G50" s="10"/>
      <c r="H50" s="9"/>
      <c r="I50" s="106"/>
      <c r="J50" s="46"/>
      <c r="K50" s="107"/>
      <c r="M50" s="91"/>
      <c r="N50" s="108"/>
    </row>
    <row r="51">
      <c r="A51" s="105"/>
      <c r="B51" s="9"/>
      <c r="C51" s="9"/>
      <c r="D51" s="10"/>
      <c r="E51" s="9"/>
      <c r="F51" s="9"/>
      <c r="G51" s="10"/>
      <c r="H51" s="9"/>
      <c r="I51" s="106"/>
      <c r="J51" s="46"/>
      <c r="K51" s="107"/>
      <c r="M51" s="91"/>
      <c r="N51" s="108"/>
    </row>
    <row r="52">
      <c r="A52" s="105"/>
      <c r="B52" s="9"/>
      <c r="C52" s="9"/>
      <c r="D52" s="10"/>
      <c r="E52" s="9"/>
      <c r="F52" s="9"/>
      <c r="G52" s="10"/>
      <c r="H52" s="9"/>
      <c r="I52" s="106"/>
      <c r="J52" s="46"/>
      <c r="K52" s="107"/>
      <c r="M52" s="91"/>
      <c r="N52" s="108"/>
    </row>
    <row r="53">
      <c r="A53" s="100" t="s">
        <v>103</v>
      </c>
      <c r="B53" s="101" t="s">
        <v>1</v>
      </c>
      <c r="C53" s="102" t="s">
        <v>2</v>
      </c>
      <c r="D53" s="127" t="s">
        <v>3</v>
      </c>
      <c r="E53" s="102" t="s">
        <v>4</v>
      </c>
      <c r="F53" s="103" t="s">
        <v>5</v>
      </c>
      <c r="G53" s="103" t="s">
        <v>6</v>
      </c>
      <c r="H53" s="104" t="s">
        <v>7</v>
      </c>
      <c r="I53" s="104" t="s">
        <v>8</v>
      </c>
      <c r="J53" s="103" t="s">
        <v>10</v>
      </c>
      <c r="K53" s="107"/>
      <c r="M53" s="91"/>
      <c r="N53" s="108"/>
    </row>
    <row r="54">
      <c r="A54" s="105" t="s">
        <v>93</v>
      </c>
      <c r="B54" s="9">
        <f t="shared" ref="B54:C54" si="12">B60+B69</f>
        <v>240</v>
      </c>
      <c r="C54" s="9">
        <f t="shared" si="12"/>
        <v>239</v>
      </c>
      <c r="D54" s="10">
        <f>C54/B54</f>
        <v>0.9958333333</v>
      </c>
      <c r="E54" s="9">
        <f>B54-C54</f>
        <v>1</v>
      </c>
      <c r="F54" s="9"/>
      <c r="G54" s="10"/>
      <c r="H54" s="9"/>
      <c r="I54" s="106"/>
      <c r="J54" s="46">
        <f>C54/31</f>
        <v>7.709677419</v>
      </c>
      <c r="K54" s="107"/>
      <c r="M54" s="91"/>
      <c r="N54" s="108"/>
    </row>
    <row r="55">
      <c r="A55" s="105" t="s">
        <v>94</v>
      </c>
      <c r="B55" s="8">
        <f>B56/B54</f>
        <v>1058.333333</v>
      </c>
      <c r="C55" s="9">
        <f>IFERROR(C56/C54,"-")</f>
        <v>957.2531381</v>
      </c>
      <c r="D55" s="10"/>
      <c r="E55" s="109"/>
      <c r="F55" s="9"/>
      <c r="G55" s="10"/>
      <c r="H55" s="109"/>
      <c r="I55" s="109"/>
      <c r="J55" s="107"/>
      <c r="K55" s="107"/>
      <c r="M55" s="91"/>
      <c r="N55" s="108"/>
    </row>
    <row r="56">
      <c r="A56" s="105" t="s">
        <v>95</v>
      </c>
      <c r="B56" s="9">
        <f t="shared" ref="B56:C56" si="13">B62+B71</f>
        <v>254000</v>
      </c>
      <c r="C56" s="9">
        <f t="shared" si="13"/>
        <v>228783.5</v>
      </c>
      <c r="D56" s="10">
        <f>C56/B56</f>
        <v>0.9007224409</v>
      </c>
      <c r="E56" s="9">
        <f>B56-C56</f>
        <v>25216.5</v>
      </c>
      <c r="F56" s="9"/>
      <c r="G56" s="10"/>
      <c r="H56" s="9"/>
      <c r="I56" s="19"/>
      <c r="J56" s="19">
        <f>C56/31</f>
        <v>7380.112903</v>
      </c>
      <c r="K56" s="107"/>
    </row>
    <row r="58">
      <c r="A58" s="110" t="s">
        <v>96</v>
      </c>
      <c r="B58" s="22"/>
      <c r="C58" s="23"/>
      <c r="D58" s="23"/>
      <c r="E58" s="23"/>
      <c r="F58" s="23"/>
      <c r="G58" s="23"/>
      <c r="H58" s="23"/>
      <c r="I58" s="23"/>
      <c r="J58" s="23"/>
      <c r="K58" s="24"/>
      <c r="L58" s="24"/>
    </row>
    <row r="59">
      <c r="A59" s="26" t="s">
        <v>97</v>
      </c>
      <c r="B59" s="27" t="s">
        <v>1</v>
      </c>
      <c r="C59" s="28" t="s">
        <v>2</v>
      </c>
      <c r="D59" s="28" t="s">
        <v>3</v>
      </c>
      <c r="E59" s="28" t="s">
        <v>4</v>
      </c>
      <c r="F59" s="29" t="s">
        <v>5</v>
      </c>
      <c r="G59" s="29" t="s">
        <v>6</v>
      </c>
      <c r="H59" s="28" t="s">
        <v>7</v>
      </c>
      <c r="I59" s="28" t="s">
        <v>8</v>
      </c>
      <c r="J59" s="29" t="s">
        <v>10</v>
      </c>
      <c r="K59" s="16"/>
      <c r="L59" s="111"/>
    </row>
    <row r="60">
      <c r="A60" s="112" t="s">
        <v>93</v>
      </c>
      <c r="B60" s="113">
        <v>70.0</v>
      </c>
      <c r="C60" s="78">
        <f>SUM(B64:AF64)</f>
        <v>49</v>
      </c>
      <c r="D60" s="93">
        <f>C60/B60</f>
        <v>0.7</v>
      </c>
      <c r="E60" s="91">
        <f>B60-C60</f>
        <v>21</v>
      </c>
      <c r="F60" s="78"/>
      <c r="G60" s="93"/>
      <c r="H60" s="78"/>
      <c r="I60" s="114"/>
      <c r="J60" s="115">
        <f>C60/31</f>
        <v>1.580645161</v>
      </c>
      <c r="K60" s="116"/>
      <c r="L60" s="13"/>
    </row>
    <row r="61">
      <c r="A61" s="112" t="s">
        <v>94</v>
      </c>
      <c r="B61" s="78">
        <f>B62/B60</f>
        <v>1200</v>
      </c>
      <c r="C61" s="78">
        <f>IFERROR(C62/C60,"-")</f>
        <v>1573.119388</v>
      </c>
      <c r="D61" s="93"/>
      <c r="E61" s="79"/>
      <c r="F61" s="78"/>
      <c r="G61" s="93"/>
      <c r="H61" s="116"/>
      <c r="I61" s="117"/>
      <c r="J61" s="116"/>
      <c r="K61" s="116"/>
      <c r="L61" s="13"/>
    </row>
    <row r="62">
      <c r="A62" s="112" t="s">
        <v>95</v>
      </c>
      <c r="B62" s="113">
        <v>84000.0</v>
      </c>
      <c r="C62" s="78">
        <f>SUM(B66:AF66)-147</f>
        <v>77082.85</v>
      </c>
      <c r="D62" s="93">
        <f>C62/B62</f>
        <v>0.9176529762</v>
      </c>
      <c r="E62" s="78">
        <f>B62-C62</f>
        <v>6917.15</v>
      </c>
      <c r="F62" s="78"/>
      <c r="G62" s="93"/>
      <c r="H62" s="78"/>
      <c r="I62" s="78"/>
      <c r="J62" s="91">
        <f>C62/31</f>
        <v>2486.543548</v>
      </c>
      <c r="K62" s="118"/>
      <c r="L62" s="13"/>
    </row>
    <row r="63">
      <c r="A63" s="119" t="s">
        <v>98</v>
      </c>
      <c r="B63" s="120">
        <v>44470.0</v>
      </c>
      <c r="C63" s="120">
        <v>44471.0</v>
      </c>
      <c r="D63" s="120">
        <v>44472.0</v>
      </c>
      <c r="E63" s="120">
        <v>44473.0</v>
      </c>
      <c r="F63" s="120">
        <v>44474.0</v>
      </c>
      <c r="G63" s="120">
        <v>44475.0</v>
      </c>
      <c r="H63" s="120">
        <v>44476.0</v>
      </c>
      <c r="I63" s="120">
        <v>44477.0</v>
      </c>
      <c r="J63" s="120">
        <v>44478.0</v>
      </c>
      <c r="K63" s="120">
        <v>44479.0</v>
      </c>
      <c r="L63" s="120">
        <v>44480.0</v>
      </c>
      <c r="M63" s="120">
        <v>44481.0</v>
      </c>
      <c r="N63" s="120">
        <v>44482.0</v>
      </c>
      <c r="O63" s="120">
        <v>44483.0</v>
      </c>
      <c r="P63" s="120">
        <v>44484.0</v>
      </c>
      <c r="Q63" s="120">
        <v>44485.0</v>
      </c>
      <c r="R63" s="120">
        <v>44486.0</v>
      </c>
      <c r="S63" s="120">
        <v>44487.0</v>
      </c>
      <c r="T63" s="120">
        <v>44488.0</v>
      </c>
      <c r="U63" s="120">
        <v>44489.0</v>
      </c>
      <c r="V63" s="120">
        <v>44490.0</v>
      </c>
      <c r="W63" s="120">
        <v>44491.0</v>
      </c>
      <c r="X63" s="120">
        <v>44492.0</v>
      </c>
      <c r="Y63" s="120">
        <v>44493.0</v>
      </c>
      <c r="Z63" s="120">
        <v>44494.0</v>
      </c>
      <c r="AA63" s="120">
        <v>44495.0</v>
      </c>
      <c r="AB63" s="120">
        <v>44496.0</v>
      </c>
      <c r="AC63" s="120">
        <v>44497.0</v>
      </c>
      <c r="AD63" s="120">
        <v>44498.0</v>
      </c>
      <c r="AE63" s="120">
        <v>44499.0</v>
      </c>
      <c r="AF63" s="120">
        <v>44500.0</v>
      </c>
    </row>
    <row r="64">
      <c r="A64" s="121" t="s">
        <v>93</v>
      </c>
      <c r="B64" s="122">
        <v>0.0</v>
      </c>
      <c r="C64" s="122">
        <v>0.0</v>
      </c>
      <c r="D64" s="122">
        <v>2.0</v>
      </c>
      <c r="E64" s="122">
        <v>2.0</v>
      </c>
      <c r="F64" s="122">
        <v>1.0</v>
      </c>
      <c r="G64" s="122">
        <v>2.0</v>
      </c>
      <c r="H64" s="122">
        <v>2.0</v>
      </c>
      <c r="I64" s="122">
        <v>2.0</v>
      </c>
      <c r="J64" s="122">
        <v>3.0</v>
      </c>
      <c r="K64" s="122">
        <v>0.0</v>
      </c>
      <c r="L64" s="122">
        <v>6.0</v>
      </c>
      <c r="M64" s="122">
        <v>2.0</v>
      </c>
      <c r="N64" s="122">
        <v>3.0</v>
      </c>
      <c r="O64" s="122">
        <v>0.0</v>
      </c>
      <c r="P64" s="122">
        <v>1.0</v>
      </c>
      <c r="Q64" s="122">
        <v>2.0</v>
      </c>
      <c r="R64" s="122">
        <v>3.0</v>
      </c>
      <c r="S64" s="122">
        <v>4.0</v>
      </c>
      <c r="T64" s="122">
        <v>1.0</v>
      </c>
      <c r="U64" s="122">
        <v>2.0</v>
      </c>
      <c r="V64" s="122">
        <v>2.0</v>
      </c>
      <c r="W64" s="122">
        <v>1.0</v>
      </c>
      <c r="X64" s="122">
        <v>2.0</v>
      </c>
      <c r="Y64" s="122">
        <v>0.0</v>
      </c>
      <c r="Z64" s="122">
        <v>1.0</v>
      </c>
      <c r="AA64" s="122">
        <v>2.0</v>
      </c>
      <c r="AB64" s="122">
        <v>0.0</v>
      </c>
      <c r="AC64" s="122">
        <v>1.0</v>
      </c>
      <c r="AD64" s="122">
        <v>0.0</v>
      </c>
      <c r="AE64" s="122">
        <v>2.0</v>
      </c>
      <c r="AF64" s="122">
        <v>0.0</v>
      </c>
    </row>
    <row r="65">
      <c r="A65" s="121" t="s">
        <v>94</v>
      </c>
      <c r="B65" s="123" t="str">
        <f t="shared" ref="B65:AF65" si="14">IFERROR(B66/B64,"-")</f>
        <v>-</v>
      </c>
      <c r="C65" s="123" t="str">
        <f t="shared" si="14"/>
        <v>-</v>
      </c>
      <c r="D65" s="123">
        <f t="shared" si="14"/>
        <v>1468.755</v>
      </c>
      <c r="E65" s="123">
        <f t="shared" si="14"/>
        <v>1157.275</v>
      </c>
      <c r="F65" s="123">
        <f t="shared" si="14"/>
        <v>2635.67</v>
      </c>
      <c r="G65" s="123">
        <f t="shared" si="14"/>
        <v>1449.55</v>
      </c>
      <c r="H65" s="123">
        <f t="shared" si="14"/>
        <v>864.385</v>
      </c>
      <c r="I65" s="123">
        <f t="shared" si="14"/>
        <v>542.19</v>
      </c>
      <c r="J65" s="123">
        <f t="shared" si="14"/>
        <v>770.23</v>
      </c>
      <c r="K65" s="123" t="str">
        <f t="shared" si="14"/>
        <v>-</v>
      </c>
      <c r="L65" s="123">
        <f t="shared" si="14"/>
        <v>500.0016667</v>
      </c>
      <c r="M65" s="123">
        <f t="shared" si="14"/>
        <v>1411.85</v>
      </c>
      <c r="N65" s="123">
        <f t="shared" si="14"/>
        <v>551.5066667</v>
      </c>
      <c r="O65" s="123" t="str">
        <f t="shared" si="14"/>
        <v>-</v>
      </c>
      <c r="P65" s="123">
        <f t="shared" si="14"/>
        <v>3466.19</v>
      </c>
      <c r="Q65" s="123">
        <f t="shared" si="14"/>
        <v>1518.035</v>
      </c>
      <c r="R65" s="123">
        <f t="shared" si="14"/>
        <v>1160.87</v>
      </c>
      <c r="S65" s="123">
        <f t="shared" si="14"/>
        <v>724.4975</v>
      </c>
      <c r="T65" s="123">
        <f t="shared" si="14"/>
        <v>1626.17</v>
      </c>
      <c r="U65" s="123">
        <f t="shared" si="14"/>
        <v>1732.74</v>
      </c>
      <c r="V65" s="123">
        <f t="shared" si="14"/>
        <v>1120.205</v>
      </c>
      <c r="W65" s="123">
        <f t="shared" si="14"/>
        <v>3664.45</v>
      </c>
      <c r="X65" s="123">
        <f t="shared" si="14"/>
        <v>1457.105</v>
      </c>
      <c r="Y65" s="123" t="str">
        <f t="shared" si="14"/>
        <v>-</v>
      </c>
      <c r="Z65" s="123">
        <f t="shared" si="14"/>
        <v>2265.34</v>
      </c>
      <c r="AA65" s="123">
        <f t="shared" si="14"/>
        <v>1266.75</v>
      </c>
      <c r="AB65" s="123" t="str">
        <f t="shared" si="14"/>
        <v>-</v>
      </c>
      <c r="AC65" s="123">
        <f t="shared" si="14"/>
        <v>1497.27</v>
      </c>
      <c r="AD65" s="123" t="str">
        <f t="shared" si="14"/>
        <v>-</v>
      </c>
      <c r="AE65" s="123">
        <f t="shared" si="14"/>
        <v>1208.69</v>
      </c>
      <c r="AF65" s="123" t="str">
        <f t="shared" si="14"/>
        <v>-</v>
      </c>
    </row>
    <row r="66">
      <c r="A66" s="121" t="s">
        <v>99</v>
      </c>
      <c r="B66" s="122">
        <v>3161.44</v>
      </c>
      <c r="C66" s="122">
        <v>2530.5</v>
      </c>
      <c r="D66" s="122">
        <v>2937.51</v>
      </c>
      <c r="E66" s="122">
        <v>2314.55</v>
      </c>
      <c r="F66" s="122">
        <v>2635.67</v>
      </c>
      <c r="G66" s="122">
        <v>2899.1</v>
      </c>
      <c r="H66" s="122">
        <v>1728.77</v>
      </c>
      <c r="I66" s="122">
        <v>1084.38</v>
      </c>
      <c r="J66" s="122">
        <v>2310.69</v>
      </c>
      <c r="K66" s="122">
        <v>1521.76</v>
      </c>
      <c r="L66" s="122">
        <v>3000.01</v>
      </c>
      <c r="M66" s="122">
        <v>2823.7</v>
      </c>
      <c r="N66" s="122">
        <v>1654.52</v>
      </c>
      <c r="O66" s="122">
        <v>2613.47</v>
      </c>
      <c r="P66" s="122">
        <v>3466.19</v>
      </c>
      <c r="Q66" s="122">
        <v>3036.07</v>
      </c>
      <c r="R66" s="122">
        <v>3482.61</v>
      </c>
      <c r="S66" s="122">
        <v>2897.99</v>
      </c>
      <c r="T66" s="122">
        <v>1626.17</v>
      </c>
      <c r="U66" s="122">
        <v>3465.48</v>
      </c>
      <c r="V66" s="122">
        <v>2240.41</v>
      </c>
      <c r="W66" s="122">
        <v>3664.45</v>
      </c>
      <c r="X66" s="122">
        <v>2914.21</v>
      </c>
      <c r="Y66" s="122">
        <v>2470.44</v>
      </c>
      <c r="Z66" s="122">
        <v>2265.34</v>
      </c>
      <c r="AA66" s="122">
        <v>2533.5</v>
      </c>
      <c r="AB66" s="122">
        <v>2254.67</v>
      </c>
      <c r="AC66" s="122">
        <v>1497.27</v>
      </c>
      <c r="AD66" s="122">
        <v>2103.86</v>
      </c>
      <c r="AE66" s="122">
        <v>2417.38</v>
      </c>
      <c r="AF66" s="122">
        <v>1677.74</v>
      </c>
    </row>
    <row r="67">
      <c r="A67" s="51"/>
      <c r="B67" s="87"/>
      <c r="C67" s="85"/>
      <c r="D67" s="85"/>
      <c r="E67" s="85"/>
      <c r="F67" s="85"/>
      <c r="G67" s="85"/>
      <c r="H67" s="85"/>
      <c r="I67" s="85"/>
      <c r="J67" s="85"/>
      <c r="K67" s="51"/>
      <c r="L67" s="51"/>
    </row>
    <row r="68">
      <c r="A68" s="26" t="s">
        <v>100</v>
      </c>
      <c r="B68" s="27" t="s">
        <v>1</v>
      </c>
      <c r="C68" s="28" t="s">
        <v>2</v>
      </c>
      <c r="D68" s="28" t="s">
        <v>3</v>
      </c>
      <c r="E68" s="28" t="s">
        <v>4</v>
      </c>
      <c r="F68" s="29" t="s">
        <v>5</v>
      </c>
      <c r="G68" s="29" t="s">
        <v>6</v>
      </c>
      <c r="H68" s="28" t="s">
        <v>7</v>
      </c>
      <c r="I68" s="28" t="s">
        <v>8</v>
      </c>
      <c r="J68" s="29" t="s">
        <v>10</v>
      </c>
      <c r="K68" s="16"/>
      <c r="L68" s="51"/>
    </row>
    <row r="69">
      <c r="A69" s="112" t="s">
        <v>93</v>
      </c>
      <c r="B69" s="113">
        <v>170.0</v>
      </c>
      <c r="C69" s="78">
        <f>SUM(B73:AF73)</f>
        <v>190</v>
      </c>
      <c r="D69" s="93">
        <f>C69/B69</f>
        <v>1.117647059</v>
      </c>
      <c r="E69" s="91">
        <f>B69-C69</f>
        <v>-20</v>
      </c>
      <c r="F69" s="78"/>
      <c r="G69" s="124"/>
      <c r="H69" s="78"/>
      <c r="I69" s="114"/>
      <c r="J69" s="115">
        <f>C69/31</f>
        <v>6.129032258</v>
      </c>
      <c r="K69" s="79"/>
      <c r="L69" s="79"/>
    </row>
    <row r="70">
      <c r="A70" s="112" t="s">
        <v>94</v>
      </c>
      <c r="B70" s="78">
        <f>B71/B69</f>
        <v>1000</v>
      </c>
      <c r="C70" s="78">
        <f>IFERROR(C71/C69,"-")</f>
        <v>798.4244737</v>
      </c>
      <c r="D70" s="93"/>
      <c r="E70" s="79"/>
      <c r="F70" s="78"/>
      <c r="G70" s="93"/>
      <c r="H70" s="79"/>
      <c r="I70" s="78"/>
      <c r="J70" s="116"/>
      <c r="K70" s="79"/>
      <c r="L70" s="79"/>
    </row>
    <row r="71">
      <c r="A71" s="112" t="s">
        <v>95</v>
      </c>
      <c r="B71" s="113">
        <v>170000.0</v>
      </c>
      <c r="C71" s="78">
        <f>SUM(B75:AF75)+258</f>
        <v>151700.65</v>
      </c>
      <c r="D71" s="93">
        <f>C71/B71</f>
        <v>0.8923567647</v>
      </c>
      <c r="E71" s="78">
        <f>B71-C71</f>
        <v>18299.35</v>
      </c>
      <c r="F71" s="78"/>
      <c r="G71" s="124"/>
      <c r="H71" s="78"/>
      <c r="I71" s="78"/>
      <c r="J71" s="91">
        <f>C71/31</f>
        <v>4893.569355</v>
      </c>
      <c r="K71" s="79"/>
      <c r="L71" s="79"/>
    </row>
    <row r="72">
      <c r="A72" s="119" t="s">
        <v>101</v>
      </c>
      <c r="B72" s="120">
        <v>44470.0</v>
      </c>
      <c r="C72" s="120">
        <v>44471.0</v>
      </c>
      <c r="D72" s="120">
        <v>44472.0</v>
      </c>
      <c r="E72" s="120">
        <v>44473.0</v>
      </c>
      <c r="F72" s="120">
        <v>44474.0</v>
      </c>
      <c r="G72" s="120">
        <v>44475.0</v>
      </c>
      <c r="H72" s="120">
        <v>44476.0</v>
      </c>
      <c r="I72" s="120">
        <v>44477.0</v>
      </c>
      <c r="J72" s="120">
        <v>44478.0</v>
      </c>
      <c r="K72" s="120">
        <v>44479.0</v>
      </c>
      <c r="L72" s="120">
        <v>44480.0</v>
      </c>
      <c r="M72" s="120">
        <v>44481.0</v>
      </c>
      <c r="N72" s="120">
        <v>44482.0</v>
      </c>
      <c r="O72" s="120">
        <v>44483.0</v>
      </c>
      <c r="P72" s="120">
        <v>44484.0</v>
      </c>
      <c r="Q72" s="120">
        <v>44485.0</v>
      </c>
      <c r="R72" s="120">
        <v>44486.0</v>
      </c>
      <c r="S72" s="120">
        <v>44487.0</v>
      </c>
      <c r="T72" s="120">
        <v>44488.0</v>
      </c>
      <c r="U72" s="120">
        <v>44489.0</v>
      </c>
      <c r="V72" s="120">
        <v>44490.0</v>
      </c>
      <c r="W72" s="120">
        <v>44491.0</v>
      </c>
      <c r="X72" s="120">
        <v>44492.0</v>
      </c>
      <c r="Y72" s="120">
        <v>44493.0</v>
      </c>
      <c r="Z72" s="120">
        <v>44494.0</v>
      </c>
      <c r="AA72" s="120">
        <v>44495.0</v>
      </c>
      <c r="AB72" s="120">
        <v>44496.0</v>
      </c>
      <c r="AC72" s="120">
        <v>44497.0</v>
      </c>
      <c r="AD72" s="120">
        <v>44498.0</v>
      </c>
      <c r="AE72" s="120">
        <v>44499.0</v>
      </c>
      <c r="AF72" s="120">
        <v>44500.0</v>
      </c>
    </row>
    <row r="73">
      <c r="A73" s="121" t="s">
        <v>93</v>
      </c>
      <c r="B73" s="122">
        <v>0.0</v>
      </c>
      <c r="C73" s="122">
        <v>1.0</v>
      </c>
      <c r="D73" s="122">
        <v>4.0</v>
      </c>
      <c r="E73" s="122">
        <v>4.0</v>
      </c>
      <c r="F73" s="122">
        <v>6.0</v>
      </c>
      <c r="G73" s="122">
        <v>7.0</v>
      </c>
      <c r="H73" s="122">
        <v>6.0</v>
      </c>
      <c r="I73" s="122">
        <v>4.0</v>
      </c>
      <c r="J73" s="122">
        <v>4.0</v>
      </c>
      <c r="K73" s="122">
        <v>6.0</v>
      </c>
      <c r="L73" s="122">
        <v>10.0</v>
      </c>
      <c r="M73" s="122">
        <v>7.0</v>
      </c>
      <c r="N73" s="122">
        <v>4.0</v>
      </c>
      <c r="O73" s="122">
        <v>7.0</v>
      </c>
      <c r="P73" s="122">
        <v>9.0</v>
      </c>
      <c r="Q73" s="122">
        <v>4.0</v>
      </c>
      <c r="R73" s="122">
        <v>9.0</v>
      </c>
      <c r="S73" s="122">
        <v>5.0</v>
      </c>
      <c r="T73" s="122">
        <v>4.0</v>
      </c>
      <c r="U73" s="122">
        <v>5.0</v>
      </c>
      <c r="V73" s="122">
        <v>9.0</v>
      </c>
      <c r="W73" s="122">
        <v>10.0</v>
      </c>
      <c r="X73" s="122">
        <v>4.0</v>
      </c>
      <c r="Y73" s="122">
        <v>5.0</v>
      </c>
      <c r="Z73" s="122">
        <v>10.0</v>
      </c>
      <c r="AA73" s="122">
        <v>7.0</v>
      </c>
      <c r="AB73" s="122">
        <v>13.0</v>
      </c>
      <c r="AC73" s="122">
        <v>6.0</v>
      </c>
      <c r="AD73" s="122">
        <v>7.0</v>
      </c>
      <c r="AE73" s="122">
        <v>4.0</v>
      </c>
      <c r="AF73" s="122">
        <v>9.0</v>
      </c>
    </row>
    <row r="74">
      <c r="A74" s="121" t="s">
        <v>94</v>
      </c>
      <c r="B74" s="123" t="str">
        <f t="shared" ref="B74:AF74" si="15">IFERROR(B75/B73,"-")</f>
        <v>-</v>
      </c>
      <c r="C74" s="123">
        <f t="shared" si="15"/>
        <v>3944.51</v>
      </c>
      <c r="D74" s="123">
        <f t="shared" si="15"/>
        <v>808.655</v>
      </c>
      <c r="E74" s="123">
        <f t="shared" si="15"/>
        <v>1031.79</v>
      </c>
      <c r="F74" s="123">
        <f t="shared" si="15"/>
        <v>673.6833333</v>
      </c>
      <c r="G74" s="123">
        <f t="shared" si="15"/>
        <v>522.4171429</v>
      </c>
      <c r="H74" s="123">
        <f t="shared" si="15"/>
        <v>728.8</v>
      </c>
      <c r="I74" s="123">
        <f t="shared" si="15"/>
        <v>1208.4675</v>
      </c>
      <c r="J74" s="123">
        <f t="shared" si="15"/>
        <v>1106.8</v>
      </c>
      <c r="K74" s="123">
        <f t="shared" si="15"/>
        <v>909.165</v>
      </c>
      <c r="L74" s="123">
        <f t="shared" si="15"/>
        <v>867.928</v>
      </c>
      <c r="M74" s="123">
        <f t="shared" si="15"/>
        <v>943.6485714</v>
      </c>
      <c r="N74" s="123">
        <f t="shared" si="15"/>
        <v>1078.645</v>
      </c>
      <c r="O74" s="123">
        <f t="shared" si="15"/>
        <v>812.4071429</v>
      </c>
      <c r="P74" s="123">
        <f t="shared" si="15"/>
        <v>564.9533333</v>
      </c>
      <c r="Q74" s="123">
        <f t="shared" si="15"/>
        <v>858.65</v>
      </c>
      <c r="R74" s="123">
        <f t="shared" si="15"/>
        <v>569.2688889</v>
      </c>
      <c r="S74" s="123">
        <f t="shared" si="15"/>
        <v>985.106</v>
      </c>
      <c r="T74" s="123">
        <f t="shared" si="15"/>
        <v>1215.5825</v>
      </c>
      <c r="U74" s="123">
        <f t="shared" si="15"/>
        <v>1395.866</v>
      </c>
      <c r="V74" s="123">
        <f t="shared" si="15"/>
        <v>824.0144444</v>
      </c>
      <c r="W74" s="123">
        <f t="shared" si="15"/>
        <v>513.793</v>
      </c>
      <c r="X74" s="123">
        <f t="shared" si="15"/>
        <v>806.45</v>
      </c>
      <c r="Y74" s="123">
        <f t="shared" si="15"/>
        <v>635.288</v>
      </c>
      <c r="Z74" s="123">
        <f t="shared" si="15"/>
        <v>528.036</v>
      </c>
      <c r="AA74" s="123">
        <f t="shared" si="15"/>
        <v>786.1371429</v>
      </c>
      <c r="AB74" s="123">
        <f t="shared" si="15"/>
        <v>367.5961538</v>
      </c>
      <c r="AC74" s="123">
        <f t="shared" si="15"/>
        <v>841.9666667</v>
      </c>
      <c r="AD74" s="123">
        <f t="shared" si="15"/>
        <v>568.3557143</v>
      </c>
      <c r="AE74" s="123">
        <f t="shared" si="15"/>
        <v>1165.875</v>
      </c>
      <c r="AF74" s="123">
        <f t="shared" si="15"/>
        <v>597.2455556</v>
      </c>
    </row>
    <row r="75">
      <c r="A75" s="121" t="s">
        <v>99</v>
      </c>
      <c r="B75" s="122">
        <v>4065.07</v>
      </c>
      <c r="C75" s="122">
        <v>3944.51</v>
      </c>
      <c r="D75" s="122">
        <v>3234.62</v>
      </c>
      <c r="E75" s="122">
        <v>4127.16</v>
      </c>
      <c r="F75" s="122">
        <v>4042.1</v>
      </c>
      <c r="G75" s="122">
        <v>3656.92</v>
      </c>
      <c r="H75" s="122">
        <v>4372.8</v>
      </c>
      <c r="I75" s="122">
        <v>4833.87</v>
      </c>
      <c r="J75" s="122">
        <v>4427.2</v>
      </c>
      <c r="K75" s="122">
        <v>5454.99</v>
      </c>
      <c r="L75" s="122">
        <v>8679.28</v>
      </c>
      <c r="M75" s="122">
        <v>6605.54</v>
      </c>
      <c r="N75" s="122">
        <v>4314.58</v>
      </c>
      <c r="O75" s="122">
        <v>5686.85</v>
      </c>
      <c r="P75" s="122">
        <v>5084.58</v>
      </c>
      <c r="Q75" s="122">
        <v>3434.6</v>
      </c>
      <c r="R75" s="122">
        <v>5123.42</v>
      </c>
      <c r="S75" s="122">
        <v>4925.53</v>
      </c>
      <c r="T75" s="122">
        <v>4862.33</v>
      </c>
      <c r="U75" s="122">
        <v>6979.33</v>
      </c>
      <c r="V75" s="122">
        <v>7416.13</v>
      </c>
      <c r="W75" s="122">
        <v>5137.93</v>
      </c>
      <c r="X75" s="122">
        <v>3225.8</v>
      </c>
      <c r="Y75" s="122">
        <v>3176.44</v>
      </c>
      <c r="Z75" s="122">
        <v>5280.36</v>
      </c>
      <c r="AA75" s="122">
        <v>5502.96</v>
      </c>
      <c r="AB75" s="122">
        <v>4778.75</v>
      </c>
      <c r="AC75" s="122">
        <v>5051.8</v>
      </c>
      <c r="AD75" s="122">
        <v>3978.49</v>
      </c>
      <c r="AE75" s="122">
        <v>4663.5</v>
      </c>
      <c r="AF75" s="122">
        <v>5375.21</v>
      </c>
    </row>
    <row r="76">
      <c r="A76" s="105"/>
      <c r="B76" s="9"/>
      <c r="C76" s="9"/>
      <c r="D76" s="10"/>
      <c r="E76" s="9"/>
      <c r="F76" s="9"/>
      <c r="G76" s="10"/>
      <c r="H76" s="9"/>
      <c r="I76" s="106"/>
      <c r="J76" s="46"/>
      <c r="K76" s="107"/>
      <c r="M76" s="91"/>
      <c r="N76" s="108"/>
    </row>
    <row r="77">
      <c r="A77" s="105"/>
      <c r="B77" s="9"/>
      <c r="C77" s="9"/>
      <c r="D77" s="10"/>
      <c r="E77" s="9"/>
      <c r="F77" s="9"/>
      <c r="G77" s="10"/>
      <c r="H77" s="9"/>
      <c r="I77" s="106"/>
      <c r="J77" s="46"/>
      <c r="K77" s="107"/>
      <c r="M77" s="91"/>
      <c r="N77" s="108"/>
    </row>
    <row r="78">
      <c r="A78" s="105"/>
      <c r="B78" s="9"/>
      <c r="C78" s="9"/>
      <c r="D78" s="10"/>
      <c r="E78" s="9"/>
      <c r="F78" s="9"/>
      <c r="G78" s="10"/>
      <c r="H78" s="9"/>
      <c r="I78" s="106"/>
      <c r="J78" s="46"/>
      <c r="K78" s="107"/>
      <c r="M78" s="91"/>
      <c r="N78" s="108"/>
    </row>
    <row r="79">
      <c r="A79" s="100" t="s">
        <v>104</v>
      </c>
      <c r="B79" s="101" t="s">
        <v>1</v>
      </c>
      <c r="C79" s="102" t="s">
        <v>2</v>
      </c>
      <c r="D79" s="127" t="s">
        <v>3</v>
      </c>
      <c r="E79" s="102" t="s">
        <v>4</v>
      </c>
      <c r="F79" s="103" t="s">
        <v>5</v>
      </c>
      <c r="G79" s="103" t="s">
        <v>6</v>
      </c>
      <c r="H79" s="104" t="s">
        <v>7</v>
      </c>
      <c r="I79" s="104" t="s">
        <v>8</v>
      </c>
      <c r="J79" s="103" t="s">
        <v>10</v>
      </c>
      <c r="K79" s="107"/>
      <c r="M79" s="91"/>
      <c r="N79" s="108"/>
    </row>
    <row r="80">
      <c r="A80" s="105" t="s">
        <v>93</v>
      </c>
      <c r="B80" s="9">
        <f t="shared" ref="B80:C80" si="16">B86+B95</f>
        <v>280</v>
      </c>
      <c r="C80" s="9">
        <f t="shared" si="16"/>
        <v>246</v>
      </c>
      <c r="D80" s="10">
        <f>C80/B80</f>
        <v>0.8785714286</v>
      </c>
      <c r="E80" s="9">
        <f>B80-C80</f>
        <v>34</v>
      </c>
      <c r="F80" s="9"/>
      <c r="G80" s="10"/>
      <c r="H80" s="9"/>
      <c r="I80" s="106"/>
      <c r="J80" s="46">
        <f>C80/30</f>
        <v>8.2</v>
      </c>
      <c r="K80" s="107"/>
      <c r="M80" s="91"/>
      <c r="N80" s="108"/>
    </row>
    <row r="81">
      <c r="A81" s="105" t="s">
        <v>94</v>
      </c>
      <c r="B81" s="8">
        <f t="shared" ref="B81:C81" si="17">B82/B80</f>
        <v>1035.714286</v>
      </c>
      <c r="C81" s="9">
        <f t="shared" si="17"/>
        <v>862.7752846</v>
      </c>
      <c r="D81" s="10"/>
      <c r="E81" s="109"/>
      <c r="F81" s="9"/>
      <c r="G81" s="10"/>
      <c r="H81" s="109"/>
      <c r="I81" s="109"/>
      <c r="J81" s="107"/>
      <c r="K81" s="107"/>
      <c r="M81" s="91"/>
      <c r="N81" s="108"/>
    </row>
    <row r="82">
      <c r="A82" s="105" t="s">
        <v>95</v>
      </c>
      <c r="B82" s="9">
        <f t="shared" ref="B82:C82" si="18">B88+B97</f>
        <v>290000</v>
      </c>
      <c r="C82" s="9">
        <f t="shared" si="18"/>
        <v>212242.72</v>
      </c>
      <c r="D82" s="10">
        <f>C82/B82</f>
        <v>0.7318714483</v>
      </c>
      <c r="E82" s="9">
        <f>B82-C82</f>
        <v>77757.28</v>
      </c>
      <c r="F82" s="9"/>
      <c r="G82" s="10"/>
      <c r="H82" s="9"/>
      <c r="I82" s="19"/>
      <c r="J82" s="19">
        <f>C82/30</f>
        <v>7074.757333</v>
      </c>
      <c r="K82" s="107"/>
    </row>
    <row r="84">
      <c r="A84" s="110" t="s">
        <v>96</v>
      </c>
      <c r="B84" s="22"/>
      <c r="C84" s="23"/>
      <c r="D84" s="23"/>
      <c r="E84" s="23"/>
      <c r="F84" s="23"/>
      <c r="G84" s="23"/>
      <c r="H84" s="23"/>
      <c r="I84" s="23"/>
      <c r="J84" s="23"/>
      <c r="K84" s="24"/>
      <c r="L84" s="24"/>
    </row>
    <row r="85">
      <c r="A85" s="26" t="s">
        <v>97</v>
      </c>
      <c r="B85" s="27" t="s">
        <v>1</v>
      </c>
      <c r="C85" s="28" t="s">
        <v>2</v>
      </c>
      <c r="D85" s="28" t="s">
        <v>3</v>
      </c>
      <c r="E85" s="28" t="s">
        <v>4</v>
      </c>
      <c r="F85" s="29" t="s">
        <v>5</v>
      </c>
      <c r="G85" s="29" t="s">
        <v>6</v>
      </c>
      <c r="H85" s="28" t="s">
        <v>7</v>
      </c>
      <c r="I85" s="28" t="s">
        <v>8</v>
      </c>
      <c r="J85" s="29" t="s">
        <v>10</v>
      </c>
      <c r="K85" s="16"/>
      <c r="L85" s="111"/>
    </row>
    <row r="86">
      <c r="A86" s="112" t="s">
        <v>93</v>
      </c>
      <c r="B86" s="113">
        <v>120.0</v>
      </c>
      <c r="C86" s="78">
        <f>SUM(B90:AE90)+1</f>
        <v>67</v>
      </c>
      <c r="D86" s="93">
        <f>C86/B86</f>
        <v>0.5583333333</v>
      </c>
      <c r="E86" s="91">
        <f>B86-C86</f>
        <v>53</v>
      </c>
      <c r="F86" s="78"/>
      <c r="G86" s="93"/>
      <c r="H86" s="78"/>
      <c r="I86" s="114"/>
      <c r="J86" s="115">
        <f>C86/30</f>
        <v>2.233333333</v>
      </c>
      <c r="K86" s="116"/>
      <c r="L86" s="13"/>
    </row>
    <row r="87">
      <c r="A87" s="112" t="s">
        <v>94</v>
      </c>
      <c r="B87" s="78">
        <f t="shared" ref="B87:C87" si="19">B88/B86</f>
        <v>1083.333333</v>
      </c>
      <c r="C87" s="78">
        <f t="shared" si="19"/>
        <v>1253.164627</v>
      </c>
      <c r="D87" s="93"/>
      <c r="E87" s="79"/>
      <c r="F87" s="78"/>
      <c r="G87" s="93"/>
      <c r="H87" s="116"/>
      <c r="I87" s="117"/>
      <c r="J87" s="116"/>
      <c r="K87" s="116"/>
      <c r="L87" s="13"/>
    </row>
    <row r="88">
      <c r="A88" s="112" t="s">
        <v>95</v>
      </c>
      <c r="B88" s="113">
        <v>130000.0</v>
      </c>
      <c r="C88" s="78">
        <f>SUM(B92:AE92)-35</f>
        <v>83962.03</v>
      </c>
      <c r="D88" s="93">
        <f>C88/B88</f>
        <v>0.6458617692</v>
      </c>
      <c r="E88" s="78">
        <f>B88-C88</f>
        <v>46037.97</v>
      </c>
      <c r="F88" s="78"/>
      <c r="G88" s="93"/>
      <c r="H88" s="78"/>
      <c r="I88" s="78"/>
      <c r="J88" s="91">
        <f>C88/30</f>
        <v>2798.734333</v>
      </c>
      <c r="K88" s="118"/>
      <c r="L88" s="13"/>
    </row>
    <row r="89">
      <c r="A89" s="119" t="s">
        <v>98</v>
      </c>
      <c r="B89" s="128">
        <v>44440.0</v>
      </c>
      <c r="C89" s="128">
        <v>44441.0</v>
      </c>
      <c r="D89" s="128">
        <v>44442.0</v>
      </c>
      <c r="E89" s="128">
        <v>44443.0</v>
      </c>
      <c r="F89" s="128">
        <v>44444.0</v>
      </c>
      <c r="G89" s="128">
        <v>44445.0</v>
      </c>
      <c r="H89" s="128">
        <v>44446.0</v>
      </c>
      <c r="I89" s="128">
        <v>44447.0</v>
      </c>
      <c r="J89" s="128">
        <v>44448.0</v>
      </c>
      <c r="K89" s="128">
        <v>44449.0</v>
      </c>
      <c r="L89" s="128">
        <v>44450.0</v>
      </c>
      <c r="M89" s="128">
        <v>44451.0</v>
      </c>
      <c r="N89" s="128">
        <v>44452.0</v>
      </c>
      <c r="O89" s="128">
        <v>44453.0</v>
      </c>
      <c r="P89" s="128">
        <v>44454.0</v>
      </c>
      <c r="Q89" s="128">
        <v>44455.0</v>
      </c>
      <c r="R89" s="128">
        <v>44456.0</v>
      </c>
      <c r="S89" s="128">
        <v>44457.0</v>
      </c>
      <c r="T89" s="128">
        <v>44458.0</v>
      </c>
      <c r="U89" s="128">
        <v>44459.0</v>
      </c>
      <c r="V89" s="128">
        <v>44460.0</v>
      </c>
      <c r="W89" s="128">
        <v>44461.0</v>
      </c>
      <c r="X89" s="128">
        <v>44462.0</v>
      </c>
      <c r="Y89" s="128">
        <v>44463.0</v>
      </c>
      <c r="Z89" s="128">
        <v>44464.0</v>
      </c>
      <c r="AA89" s="128">
        <v>44465.0</v>
      </c>
      <c r="AB89" s="128">
        <v>44466.0</v>
      </c>
      <c r="AC89" s="128">
        <v>44467.0</v>
      </c>
      <c r="AD89" s="128">
        <v>44468.0</v>
      </c>
      <c r="AE89" s="128">
        <v>44469.0</v>
      </c>
      <c r="AF89" s="128"/>
    </row>
    <row r="90">
      <c r="A90" s="121" t="s">
        <v>93</v>
      </c>
      <c r="B90" s="122">
        <v>4.0</v>
      </c>
      <c r="C90" s="122">
        <v>3.0</v>
      </c>
      <c r="D90" s="122">
        <v>2.0</v>
      </c>
      <c r="E90" s="122">
        <v>2.0</v>
      </c>
      <c r="F90" s="122">
        <v>3.0</v>
      </c>
      <c r="G90" s="122">
        <v>2.0</v>
      </c>
      <c r="H90" s="122">
        <v>0.0</v>
      </c>
      <c r="I90" s="122">
        <v>7.0</v>
      </c>
      <c r="J90" s="122">
        <v>1.0</v>
      </c>
      <c r="K90" s="122">
        <v>5.0</v>
      </c>
      <c r="L90" s="122">
        <v>3.0</v>
      </c>
      <c r="M90" s="122">
        <v>1.0</v>
      </c>
      <c r="N90" s="122">
        <v>4.0</v>
      </c>
      <c r="O90" s="122">
        <v>2.0</v>
      </c>
      <c r="P90" s="122">
        <v>2.0</v>
      </c>
      <c r="Q90" s="122">
        <v>1.0</v>
      </c>
      <c r="R90" s="122">
        <v>1.0</v>
      </c>
      <c r="S90" s="122">
        <v>1.0</v>
      </c>
      <c r="T90" s="122">
        <v>0.0</v>
      </c>
      <c r="U90" s="122">
        <v>0.0</v>
      </c>
      <c r="V90" s="122">
        <v>3.0</v>
      </c>
      <c r="W90" s="122">
        <v>0.0</v>
      </c>
      <c r="X90" s="122">
        <v>2.0</v>
      </c>
      <c r="Y90" s="122">
        <v>2.0</v>
      </c>
      <c r="Z90" s="122">
        <v>3.0</v>
      </c>
      <c r="AA90" s="122">
        <v>3.0</v>
      </c>
      <c r="AB90" s="122">
        <v>2.0</v>
      </c>
      <c r="AC90" s="122">
        <v>3.0</v>
      </c>
      <c r="AD90" s="122">
        <v>3.0</v>
      </c>
      <c r="AE90" s="122">
        <v>1.0</v>
      </c>
      <c r="AF90" s="122"/>
    </row>
    <row r="91">
      <c r="A91" s="121" t="s">
        <v>94</v>
      </c>
      <c r="B91" s="123">
        <f t="shared" ref="B91:AE91" si="20">IFERROR(B92/B90,"-")</f>
        <v>1171.2725</v>
      </c>
      <c r="C91" s="123">
        <f t="shared" si="20"/>
        <v>1079.9</v>
      </c>
      <c r="D91" s="123">
        <f t="shared" si="20"/>
        <v>1105.515</v>
      </c>
      <c r="E91" s="123">
        <f t="shared" si="20"/>
        <v>1232.475</v>
      </c>
      <c r="F91" s="123">
        <f t="shared" si="20"/>
        <v>1125.463333</v>
      </c>
      <c r="G91" s="123">
        <f t="shared" si="20"/>
        <v>1654.46</v>
      </c>
      <c r="H91" s="123" t="str">
        <f t="shared" si="20"/>
        <v>-</v>
      </c>
      <c r="I91" s="123">
        <f t="shared" si="20"/>
        <v>330.7785714</v>
      </c>
      <c r="J91" s="123">
        <f t="shared" si="20"/>
        <v>2073.96</v>
      </c>
      <c r="K91" s="123">
        <f t="shared" si="20"/>
        <v>420.22</v>
      </c>
      <c r="L91" s="123">
        <f t="shared" si="20"/>
        <v>849.23</v>
      </c>
      <c r="M91" s="123">
        <f t="shared" si="20"/>
        <v>2490.13</v>
      </c>
      <c r="N91" s="123">
        <f t="shared" si="20"/>
        <v>758.4575</v>
      </c>
      <c r="O91" s="123">
        <f t="shared" si="20"/>
        <v>876.41</v>
      </c>
      <c r="P91" s="123">
        <f t="shared" si="20"/>
        <v>1523.99</v>
      </c>
      <c r="Q91" s="123">
        <f t="shared" si="20"/>
        <v>3130.38</v>
      </c>
      <c r="R91" s="123">
        <f t="shared" si="20"/>
        <v>1698.55</v>
      </c>
      <c r="S91" s="123">
        <f t="shared" si="20"/>
        <v>1738.82</v>
      </c>
      <c r="T91" s="123" t="str">
        <f t="shared" si="20"/>
        <v>-</v>
      </c>
      <c r="U91" s="123" t="str">
        <f t="shared" si="20"/>
        <v>-</v>
      </c>
      <c r="V91" s="123">
        <f t="shared" si="20"/>
        <v>1182.026667</v>
      </c>
      <c r="W91" s="123" t="str">
        <f t="shared" si="20"/>
        <v>-</v>
      </c>
      <c r="X91" s="123">
        <f t="shared" si="20"/>
        <v>863.91</v>
      </c>
      <c r="Y91" s="123">
        <f t="shared" si="20"/>
        <v>1636.215</v>
      </c>
      <c r="Z91" s="123">
        <f t="shared" si="20"/>
        <v>1063.033333</v>
      </c>
      <c r="AA91" s="123">
        <f t="shared" si="20"/>
        <v>1013.28</v>
      </c>
      <c r="AB91" s="123">
        <f t="shared" si="20"/>
        <v>1591.09</v>
      </c>
      <c r="AC91" s="123">
        <f t="shared" si="20"/>
        <v>1454.646667</v>
      </c>
      <c r="AD91" s="123">
        <f t="shared" si="20"/>
        <v>878.5866667</v>
      </c>
      <c r="AE91" s="123">
        <f t="shared" si="20"/>
        <v>3544.64</v>
      </c>
      <c r="AF91" s="123"/>
    </row>
    <row r="92">
      <c r="A92" s="121" t="s">
        <v>99</v>
      </c>
      <c r="B92" s="122">
        <v>4685.09</v>
      </c>
      <c r="C92" s="122">
        <v>3239.7</v>
      </c>
      <c r="D92" s="122">
        <v>2211.03</v>
      </c>
      <c r="E92" s="122">
        <v>2464.95</v>
      </c>
      <c r="F92" s="122">
        <v>3376.39</v>
      </c>
      <c r="G92" s="122">
        <v>3308.92</v>
      </c>
      <c r="H92" s="122">
        <v>2983.9</v>
      </c>
      <c r="I92" s="122">
        <v>2315.45</v>
      </c>
      <c r="J92" s="122">
        <v>2073.96</v>
      </c>
      <c r="K92" s="122">
        <v>2101.1</v>
      </c>
      <c r="L92" s="122">
        <v>2547.69</v>
      </c>
      <c r="M92" s="122">
        <v>2490.13</v>
      </c>
      <c r="N92" s="122">
        <v>3033.83</v>
      </c>
      <c r="O92" s="122">
        <v>1752.82</v>
      </c>
      <c r="P92" s="122">
        <v>3047.98</v>
      </c>
      <c r="Q92" s="122">
        <v>3130.38</v>
      </c>
      <c r="R92" s="122">
        <v>1698.55</v>
      </c>
      <c r="S92" s="122">
        <v>1738.82</v>
      </c>
      <c r="T92" s="122">
        <v>1991.76</v>
      </c>
      <c r="U92" s="122">
        <v>2835.24</v>
      </c>
      <c r="V92" s="122">
        <v>3546.08</v>
      </c>
      <c r="W92" s="122">
        <v>2467.55</v>
      </c>
      <c r="X92" s="122">
        <v>1727.82</v>
      </c>
      <c r="Y92" s="122">
        <v>3272.43</v>
      </c>
      <c r="Z92" s="122">
        <v>3189.1</v>
      </c>
      <c r="AA92" s="122">
        <v>3039.84</v>
      </c>
      <c r="AB92" s="122">
        <v>3182.18</v>
      </c>
      <c r="AC92" s="122">
        <v>4363.94</v>
      </c>
      <c r="AD92" s="122">
        <v>2635.76</v>
      </c>
      <c r="AE92" s="122">
        <v>3544.64</v>
      </c>
      <c r="AF92" s="122"/>
    </row>
    <row r="93">
      <c r="A93" s="51"/>
      <c r="B93" s="87"/>
      <c r="C93" s="85"/>
      <c r="D93" s="85"/>
      <c r="E93" s="85"/>
      <c r="F93" s="85"/>
      <c r="G93" s="85"/>
      <c r="H93" s="85"/>
      <c r="I93" s="85"/>
      <c r="J93" s="85"/>
      <c r="K93" s="51"/>
      <c r="L93" s="51"/>
    </row>
    <row r="94">
      <c r="A94" s="26" t="s">
        <v>100</v>
      </c>
      <c r="B94" s="27" t="s">
        <v>1</v>
      </c>
      <c r="C94" s="28" t="s">
        <v>2</v>
      </c>
      <c r="D94" s="28" t="s">
        <v>3</v>
      </c>
      <c r="E94" s="28" t="s">
        <v>4</v>
      </c>
      <c r="F94" s="29" t="s">
        <v>5</v>
      </c>
      <c r="G94" s="29" t="s">
        <v>6</v>
      </c>
      <c r="H94" s="28" t="s">
        <v>7</v>
      </c>
      <c r="I94" s="28" t="s">
        <v>8</v>
      </c>
      <c r="J94" s="29" t="s">
        <v>10</v>
      </c>
      <c r="K94" s="16"/>
      <c r="L94" s="51"/>
    </row>
    <row r="95">
      <c r="A95" s="112" t="s">
        <v>93</v>
      </c>
      <c r="B95" s="113">
        <v>160.0</v>
      </c>
      <c r="C95" s="78">
        <f>SUM(B99:AE99)-1</f>
        <v>179</v>
      </c>
      <c r="D95" s="93">
        <f>C95/B95</f>
        <v>1.11875</v>
      </c>
      <c r="E95" s="91">
        <f>B95-C95</f>
        <v>-19</v>
      </c>
      <c r="F95" s="78"/>
      <c r="G95" s="129"/>
      <c r="H95" s="78"/>
      <c r="I95" s="114"/>
      <c r="J95" s="115">
        <f>C95/30</f>
        <v>5.966666667</v>
      </c>
      <c r="K95" s="79"/>
      <c r="L95" s="79"/>
    </row>
    <row r="96">
      <c r="A96" s="112" t="s">
        <v>94</v>
      </c>
      <c r="B96" s="78">
        <f t="shared" ref="B96:C96" si="21">B97/B95</f>
        <v>1000</v>
      </c>
      <c r="C96" s="78">
        <f t="shared" si="21"/>
        <v>716.6518994</v>
      </c>
      <c r="D96" s="93"/>
      <c r="E96" s="79"/>
      <c r="F96" s="78"/>
      <c r="G96" s="93"/>
      <c r="H96" s="79"/>
      <c r="I96" s="78"/>
      <c r="J96" s="116"/>
      <c r="K96" s="79"/>
      <c r="L96" s="79"/>
    </row>
    <row r="97">
      <c r="A97" s="112" t="s">
        <v>95</v>
      </c>
      <c r="B97" s="113">
        <v>160000.0</v>
      </c>
      <c r="C97" s="78">
        <f>SUM(B101:AE101)-98</f>
        <v>128280.69</v>
      </c>
      <c r="D97" s="93">
        <f>C97/B97</f>
        <v>0.8017543125</v>
      </c>
      <c r="E97" s="78">
        <f>B97-C97</f>
        <v>31719.31</v>
      </c>
      <c r="F97" s="78"/>
      <c r="G97" s="129"/>
      <c r="H97" s="78"/>
      <c r="I97" s="78"/>
      <c r="J97" s="91">
        <f>C97/30</f>
        <v>4276.023</v>
      </c>
      <c r="K97" s="79"/>
      <c r="L97" s="79"/>
    </row>
    <row r="98">
      <c r="A98" s="119" t="s">
        <v>101</v>
      </c>
      <c r="B98" s="128">
        <v>44440.0</v>
      </c>
      <c r="C98" s="128">
        <v>44441.0</v>
      </c>
      <c r="D98" s="128">
        <v>44442.0</v>
      </c>
      <c r="E98" s="128">
        <v>44443.0</v>
      </c>
      <c r="F98" s="128">
        <v>44444.0</v>
      </c>
      <c r="G98" s="128">
        <v>44445.0</v>
      </c>
      <c r="H98" s="128">
        <v>44446.0</v>
      </c>
      <c r="I98" s="128">
        <v>44447.0</v>
      </c>
      <c r="J98" s="128">
        <v>44448.0</v>
      </c>
      <c r="K98" s="128">
        <v>44449.0</v>
      </c>
      <c r="L98" s="128">
        <v>44450.0</v>
      </c>
      <c r="M98" s="128">
        <v>44451.0</v>
      </c>
      <c r="N98" s="128">
        <v>44452.0</v>
      </c>
      <c r="O98" s="128">
        <v>44453.0</v>
      </c>
      <c r="P98" s="128">
        <v>44454.0</v>
      </c>
      <c r="Q98" s="128">
        <v>44455.0</v>
      </c>
      <c r="R98" s="128">
        <v>44456.0</v>
      </c>
      <c r="S98" s="128">
        <v>44457.0</v>
      </c>
      <c r="T98" s="128">
        <v>44458.0</v>
      </c>
      <c r="U98" s="128">
        <v>44459.0</v>
      </c>
      <c r="V98" s="128">
        <v>44460.0</v>
      </c>
      <c r="W98" s="128">
        <v>44461.0</v>
      </c>
      <c r="X98" s="128">
        <v>44462.0</v>
      </c>
      <c r="Y98" s="128">
        <v>44463.0</v>
      </c>
      <c r="Z98" s="128">
        <v>44464.0</v>
      </c>
      <c r="AA98" s="128">
        <v>44465.0</v>
      </c>
      <c r="AB98" s="128">
        <v>44466.0</v>
      </c>
      <c r="AC98" s="128">
        <v>44467.0</v>
      </c>
      <c r="AD98" s="128">
        <v>44468.0</v>
      </c>
      <c r="AE98" s="128">
        <v>44469.0</v>
      </c>
      <c r="AF98" s="128"/>
    </row>
    <row r="99">
      <c r="A99" s="121" t="s">
        <v>93</v>
      </c>
      <c r="B99" s="122">
        <v>8.0</v>
      </c>
      <c r="C99" s="122">
        <v>5.0</v>
      </c>
      <c r="D99" s="122">
        <v>4.0</v>
      </c>
      <c r="E99" s="122">
        <v>4.0</v>
      </c>
      <c r="F99" s="122">
        <v>11.0</v>
      </c>
      <c r="G99" s="122">
        <v>11.0</v>
      </c>
      <c r="H99" s="122">
        <v>8.0</v>
      </c>
      <c r="I99" s="122">
        <v>4.0</v>
      </c>
      <c r="J99" s="122">
        <v>5.0</v>
      </c>
      <c r="K99" s="122">
        <v>6.0</v>
      </c>
      <c r="L99" s="122">
        <v>4.0</v>
      </c>
      <c r="M99" s="122">
        <v>4.0</v>
      </c>
      <c r="N99" s="122">
        <v>7.0</v>
      </c>
      <c r="O99" s="122">
        <v>7.0</v>
      </c>
      <c r="P99" s="122">
        <v>6.0</v>
      </c>
      <c r="Q99" s="122">
        <v>9.0</v>
      </c>
      <c r="R99" s="122">
        <v>7.0</v>
      </c>
      <c r="S99" s="122">
        <v>2.0</v>
      </c>
      <c r="T99" s="122">
        <v>8.0</v>
      </c>
      <c r="U99" s="122">
        <v>9.0</v>
      </c>
      <c r="V99" s="122">
        <v>11.0</v>
      </c>
      <c r="W99" s="122">
        <v>7.0</v>
      </c>
      <c r="X99" s="122">
        <v>4.0</v>
      </c>
      <c r="Y99" s="122">
        <v>4.0</v>
      </c>
      <c r="Z99" s="122">
        <v>0.0</v>
      </c>
      <c r="AA99" s="122">
        <v>9.0</v>
      </c>
      <c r="AB99" s="122">
        <v>1.0</v>
      </c>
      <c r="AC99" s="122">
        <v>6.0</v>
      </c>
      <c r="AD99" s="122">
        <v>4.0</v>
      </c>
      <c r="AE99" s="122">
        <v>5.0</v>
      </c>
      <c r="AF99" s="122"/>
    </row>
    <row r="100">
      <c r="A100" s="121" t="s">
        <v>94</v>
      </c>
      <c r="B100" s="123">
        <f t="shared" ref="B100:AE100" si="22">IFERROR(B101/B99,"-")</f>
        <v>482.685</v>
      </c>
      <c r="C100" s="123">
        <f t="shared" si="22"/>
        <v>768.952</v>
      </c>
      <c r="D100" s="123">
        <f t="shared" si="22"/>
        <v>1072.3275</v>
      </c>
      <c r="E100" s="123">
        <f t="shared" si="22"/>
        <v>1009.7875</v>
      </c>
      <c r="F100" s="123">
        <f t="shared" si="22"/>
        <v>443.9909091</v>
      </c>
      <c r="G100" s="123">
        <f t="shared" si="22"/>
        <v>389.1763636</v>
      </c>
      <c r="H100" s="123">
        <f t="shared" si="22"/>
        <v>567.5375</v>
      </c>
      <c r="I100" s="123">
        <f t="shared" si="22"/>
        <v>1055.485</v>
      </c>
      <c r="J100" s="123">
        <f t="shared" si="22"/>
        <v>640.33</v>
      </c>
      <c r="K100" s="123">
        <f t="shared" si="22"/>
        <v>801.555</v>
      </c>
      <c r="L100" s="123">
        <f t="shared" si="22"/>
        <v>1166.285</v>
      </c>
      <c r="M100" s="123">
        <f t="shared" si="22"/>
        <v>1318.5075</v>
      </c>
      <c r="N100" s="123">
        <f t="shared" si="22"/>
        <v>440.54</v>
      </c>
      <c r="O100" s="123">
        <f t="shared" si="22"/>
        <v>630.4185714</v>
      </c>
      <c r="P100" s="123">
        <f t="shared" si="22"/>
        <v>633.9166667</v>
      </c>
      <c r="Q100" s="123">
        <f t="shared" si="22"/>
        <v>432.7955556</v>
      </c>
      <c r="R100" s="123">
        <f t="shared" si="22"/>
        <v>667.7485714</v>
      </c>
      <c r="S100" s="123">
        <f t="shared" si="22"/>
        <v>1690.82</v>
      </c>
      <c r="T100" s="123">
        <f t="shared" si="22"/>
        <v>472.2775</v>
      </c>
      <c r="U100" s="123">
        <f t="shared" si="22"/>
        <v>469.6244444</v>
      </c>
      <c r="V100" s="123">
        <f t="shared" si="22"/>
        <v>347.1690909</v>
      </c>
      <c r="W100" s="123">
        <f t="shared" si="22"/>
        <v>590.6657143</v>
      </c>
      <c r="X100" s="123">
        <f t="shared" si="22"/>
        <v>928.27</v>
      </c>
      <c r="Y100" s="123">
        <f t="shared" si="22"/>
        <v>1047.0125</v>
      </c>
      <c r="Z100" s="123" t="str">
        <f t="shared" si="22"/>
        <v>-</v>
      </c>
      <c r="AA100" s="123">
        <f t="shared" si="22"/>
        <v>479.6555556</v>
      </c>
      <c r="AB100" s="123">
        <f t="shared" si="22"/>
        <v>5927.16</v>
      </c>
      <c r="AC100" s="123">
        <f t="shared" si="22"/>
        <v>895.0366667</v>
      </c>
      <c r="AD100" s="123">
        <f t="shared" si="22"/>
        <v>1369.92</v>
      </c>
      <c r="AE100" s="123">
        <f t="shared" si="22"/>
        <v>1022.578</v>
      </c>
      <c r="AF100" s="123"/>
    </row>
    <row r="101">
      <c r="A101" s="121" t="s">
        <v>99</v>
      </c>
      <c r="B101" s="122">
        <v>3861.48</v>
      </c>
      <c r="C101" s="122">
        <v>3844.76</v>
      </c>
      <c r="D101" s="122">
        <v>4289.31</v>
      </c>
      <c r="E101" s="122">
        <v>4039.15</v>
      </c>
      <c r="F101" s="122">
        <v>4883.9</v>
      </c>
      <c r="G101" s="122">
        <v>4280.94</v>
      </c>
      <c r="H101" s="122">
        <v>4540.3</v>
      </c>
      <c r="I101" s="122">
        <v>4221.94</v>
      </c>
      <c r="J101" s="122">
        <v>3201.65</v>
      </c>
      <c r="K101" s="122">
        <v>4809.33</v>
      </c>
      <c r="L101" s="122">
        <v>4665.14</v>
      </c>
      <c r="M101" s="122">
        <v>5274.03</v>
      </c>
      <c r="N101" s="122">
        <v>3083.78</v>
      </c>
      <c r="O101" s="122">
        <v>4412.93</v>
      </c>
      <c r="P101" s="122">
        <v>3803.5</v>
      </c>
      <c r="Q101" s="122">
        <v>3895.16</v>
      </c>
      <c r="R101" s="122">
        <v>4674.24</v>
      </c>
      <c r="S101" s="122">
        <v>3381.64</v>
      </c>
      <c r="T101" s="122">
        <v>3778.22</v>
      </c>
      <c r="U101" s="122">
        <v>4226.62</v>
      </c>
      <c r="V101" s="122">
        <v>3818.86</v>
      </c>
      <c r="W101" s="122">
        <v>4134.66</v>
      </c>
      <c r="X101" s="122">
        <v>3713.08</v>
      </c>
      <c r="Y101" s="122">
        <v>4188.05</v>
      </c>
      <c r="Z101" s="122">
        <v>3149.17</v>
      </c>
      <c r="AA101" s="122">
        <v>4316.9</v>
      </c>
      <c r="AB101" s="122">
        <v>5927.16</v>
      </c>
      <c r="AC101" s="122">
        <v>5370.22</v>
      </c>
      <c r="AD101" s="122">
        <v>5479.68</v>
      </c>
      <c r="AE101" s="122">
        <v>5112.89</v>
      </c>
      <c r="AF101" s="122"/>
    </row>
  </sheetData>
  <conditionalFormatting sqref="G4 G10 G19 G30 G36 G45 G56 G62 G71 G82 G88 G97">
    <cfRule type="cellIs" dxfId="1" priority="1" operator="lessThanOrEqual">
      <formula>"100%"</formula>
    </cfRule>
  </conditionalFormatting>
  <conditionalFormatting sqref="G4 G10 G19 G30 G36 G45 G56 G62 G71 G82 G88 G97">
    <cfRule type="cellIs" dxfId="0" priority="2" operator="greaterThan">
      <formula>"100%"</formula>
    </cfRule>
  </conditionalFormatting>
  <conditionalFormatting sqref="G2 G8 G17 G28 G34 G43">
    <cfRule type="cellIs" dxfId="0" priority="3" operator="lessThan">
      <formula>"100%"</formula>
    </cfRule>
  </conditionalFormatting>
  <conditionalFormatting sqref="H4 H10 H19 H30 H36 H45 H56 H62 H71 H82 H88 H97">
    <cfRule type="cellIs" dxfId="0" priority="4" operator="greaterThan">
      <formula>0</formula>
    </cfRule>
  </conditionalFormatting>
  <conditionalFormatting sqref="H2 H8 H17 H28 H34 H43">
    <cfRule type="cellIs" dxfId="1" priority="5" operator="greaterThanOrEqual">
      <formula>0</formula>
    </cfRule>
  </conditionalFormatting>
  <conditionalFormatting sqref="H4 H10 H19 H30 H36 H45 H56 H62 H71 H82 H88 H97">
    <cfRule type="cellIs" dxfId="1" priority="6" operator="lessThanOrEqual">
      <formula>0</formula>
    </cfRule>
  </conditionalFormatting>
  <conditionalFormatting sqref="H2 H8 H17 H28 H34 H43">
    <cfRule type="cellIs" dxfId="0" priority="7" operator="lessThan">
      <formula>0</formula>
    </cfRule>
  </conditionalFormatting>
  <conditionalFormatting sqref="G2 G8 G17 G28 G34 G43">
    <cfRule type="cellIs" dxfId="1" priority="8" operator="greaterThanOrEqual">
      <formula>"100%"</formula>
    </cfRule>
  </conditionalFormatting>
  <conditionalFormatting sqref="G3 G9 G18 G29 G35 G44 G55 G61 G70 G81 G87 G96">
    <cfRule type="cellIs" dxfId="1" priority="9" operator="lessThanOrEqual">
      <formula>"100%"</formula>
    </cfRule>
  </conditionalFormatting>
  <conditionalFormatting sqref="G3 G9 G18 G29 G35 G44 G55 G61 G70 G81 G87 G96">
    <cfRule type="cellIs" dxfId="0" priority="10" operator="greaterThan">
      <formula>"100%"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29"/>
    <col customWidth="1" min="2" max="3" width="12.14"/>
    <col customWidth="1" min="4" max="4" width="13.29"/>
    <col customWidth="1" min="5" max="7" width="12.14"/>
    <col customWidth="1" min="8" max="8" width="15.71"/>
    <col customWidth="1" min="9" max="32" width="12.14"/>
  </cols>
  <sheetData>
    <row r="1">
      <c r="A1" s="100" t="s">
        <v>92</v>
      </c>
      <c r="B1" s="101" t="s">
        <v>1</v>
      </c>
      <c r="C1" s="102" t="s">
        <v>2</v>
      </c>
      <c r="D1" s="102" t="str">
        <f>CONCATENATE("Выполнено ",INT(M3/M2*100),"%")</f>
        <v>Выполнено 22%</v>
      </c>
      <c r="E1" s="102" t="s">
        <v>4</v>
      </c>
      <c r="F1" s="103" t="s">
        <v>5</v>
      </c>
      <c r="G1" s="103" t="s">
        <v>6</v>
      </c>
      <c r="H1" s="103" t="s">
        <v>105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 t="shared" ref="B2:C2" si="1">B8+B17+B26</f>
        <v>262</v>
      </c>
      <c r="C2" s="9">
        <f t="shared" si="1"/>
        <v>54</v>
      </c>
      <c r="D2" s="10">
        <f>C2/B2</f>
        <v>0.2061068702</v>
      </c>
      <c r="E2" s="9">
        <f>B2-C2</f>
        <v>208</v>
      </c>
      <c r="F2" s="9">
        <f>C2/M3*M2</f>
        <v>239.1428571</v>
      </c>
      <c r="G2" s="10">
        <f t="shared" ref="G2:G4" si="2">F2/B2</f>
        <v>0.9127589967</v>
      </c>
      <c r="H2" s="9">
        <f>F2-B2</f>
        <v>-22.85714286</v>
      </c>
      <c r="I2" s="106">
        <f>E2/(M2-M3)</f>
        <v>8.666666667</v>
      </c>
      <c r="J2" s="46">
        <f>C2/M3</f>
        <v>7.714285714</v>
      </c>
      <c r="K2" s="107"/>
      <c r="M2" s="91" t="str">
        <f>LEFT(N2, 2)</f>
        <v>31</v>
      </c>
      <c r="N2" s="108">
        <f>DATE(YEAR(TODAY()),MONTH(TODAY())+1,1)-1</f>
        <v>44561</v>
      </c>
    </row>
    <row r="3">
      <c r="A3" s="105" t="s">
        <v>94</v>
      </c>
      <c r="B3" s="8">
        <f>B4/B2</f>
        <v>3614.503817</v>
      </c>
      <c r="C3" s="130">
        <f>IFERROR(C4/C2,"-")</f>
        <v>4085.228704</v>
      </c>
      <c r="D3" s="10"/>
      <c r="E3" s="109"/>
      <c r="F3" s="9">
        <f>F4/F2</f>
        <v>4085.228704</v>
      </c>
      <c r="G3" s="10">
        <f t="shared" si="2"/>
        <v>1.130232228</v>
      </c>
      <c r="H3" s="109"/>
      <c r="I3" s="109"/>
      <c r="J3" s="107"/>
      <c r="K3" s="107"/>
      <c r="M3" s="91">
        <f>LEFT(N3, 2)-1</f>
        <v>7</v>
      </c>
      <c r="N3" s="108">
        <f>TODAY()</f>
        <v>44538</v>
      </c>
    </row>
    <row r="4">
      <c r="A4" s="105" t="s">
        <v>95</v>
      </c>
      <c r="B4" s="9">
        <f t="shared" ref="B4:C4" si="3">B10+B19+B28</f>
        <v>947000</v>
      </c>
      <c r="C4" s="9">
        <f t="shared" si="3"/>
        <v>220602.35</v>
      </c>
      <c r="D4" s="10">
        <f>C4/B4</f>
        <v>0.2329486272</v>
      </c>
      <c r="E4" s="9">
        <f>B4-C4</f>
        <v>726397.65</v>
      </c>
      <c r="F4" s="9">
        <f>C4/M3*M2</f>
        <v>976953.2643</v>
      </c>
      <c r="G4" s="10">
        <f t="shared" si="2"/>
        <v>1.031629635</v>
      </c>
      <c r="H4" s="9">
        <f>F4-B4</f>
        <v>29953.26429</v>
      </c>
      <c r="I4" s="19">
        <f>E4/(M2-M3)</f>
        <v>30266.56875</v>
      </c>
      <c r="J4" s="19">
        <f>C4/M3</f>
        <v>31514.62143</v>
      </c>
      <c r="K4" s="107"/>
    </row>
    <row r="6">
      <c r="A6" s="110" t="s">
        <v>96</v>
      </c>
      <c r="B6" s="22"/>
      <c r="C6" s="131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97</v>
      </c>
      <c r="B7" s="27" t="s">
        <v>1</v>
      </c>
      <c r="C7" s="28" t="s">
        <v>2</v>
      </c>
      <c r="D7" s="28" t="s">
        <v>3</v>
      </c>
      <c r="E7" s="28" t="s">
        <v>4</v>
      </c>
      <c r="F7" s="29" t="s">
        <v>5</v>
      </c>
      <c r="G7" s="29" t="s">
        <v>6</v>
      </c>
      <c r="H7" s="29" t="s">
        <v>105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125.0</v>
      </c>
      <c r="C8" s="78">
        <f>SUM(B12:AF12)</f>
        <v>34</v>
      </c>
      <c r="D8" s="93">
        <f>C8/B8</f>
        <v>0.272</v>
      </c>
      <c r="E8" s="91">
        <f>B8-C8</f>
        <v>91</v>
      </c>
      <c r="F8" s="78">
        <f>C8/M3*M2</f>
        <v>150.5714286</v>
      </c>
      <c r="G8" s="93">
        <f t="shared" ref="G8:G10" si="4">F8/B8</f>
        <v>1.204571429</v>
      </c>
      <c r="H8" s="78">
        <f>F8-B8</f>
        <v>25.57142857</v>
      </c>
      <c r="I8" s="114">
        <f>E8/(M2-M3)</f>
        <v>3.791666667</v>
      </c>
      <c r="J8" s="115">
        <f>C8/M3</f>
        <v>4.857142857</v>
      </c>
      <c r="K8" s="116"/>
      <c r="L8" s="13"/>
    </row>
    <row r="9">
      <c r="A9" s="112" t="s">
        <v>94</v>
      </c>
      <c r="B9" s="78">
        <f>B10/B8</f>
        <v>3800</v>
      </c>
      <c r="C9" s="132">
        <f>IFERROR(C10/C8,"-")</f>
        <v>3115.202647</v>
      </c>
      <c r="D9" s="93"/>
      <c r="E9" s="79"/>
      <c r="F9" s="78">
        <f>F10/F8</f>
        <v>3115.202647</v>
      </c>
      <c r="G9" s="93">
        <f t="shared" si="4"/>
        <v>0.8197901703</v>
      </c>
      <c r="H9" s="116"/>
      <c r="I9" s="117"/>
      <c r="J9" s="116"/>
      <c r="K9" s="116"/>
      <c r="L9" s="13"/>
    </row>
    <row r="10">
      <c r="A10" s="112" t="s">
        <v>95</v>
      </c>
      <c r="B10" s="113">
        <v>475000.0</v>
      </c>
      <c r="C10" s="78">
        <f>SUM(B14:AF14)</f>
        <v>105916.89</v>
      </c>
      <c r="D10" s="93">
        <f>C10/B10</f>
        <v>0.2229829263</v>
      </c>
      <c r="E10" s="78">
        <f>B10-C10</f>
        <v>369083.11</v>
      </c>
      <c r="F10" s="78">
        <f>C10/M3*M2</f>
        <v>469060.5129</v>
      </c>
      <c r="G10" s="93">
        <f t="shared" si="4"/>
        <v>0.9874958165</v>
      </c>
      <c r="H10" s="78">
        <f>F10-B10</f>
        <v>-5939.487143</v>
      </c>
      <c r="I10" s="78">
        <f>E10/(M2-M3)</f>
        <v>15378.46292</v>
      </c>
      <c r="J10" s="91">
        <f>C10/M3</f>
        <v>15130.98429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22">
        <v>4.0</v>
      </c>
      <c r="C12" s="122">
        <v>6.0</v>
      </c>
      <c r="D12" s="122">
        <v>5.0</v>
      </c>
      <c r="E12" s="122">
        <v>6.0</v>
      </c>
      <c r="F12" s="122">
        <v>4.0</v>
      </c>
      <c r="G12" s="122">
        <v>5.0</v>
      </c>
      <c r="H12" s="122">
        <v>4.0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>
      <c r="A13" s="121" t="s">
        <v>94</v>
      </c>
      <c r="B13" s="123">
        <f t="shared" ref="B13:AF13" si="5">IFERROR(B14/B12,"-")</f>
        <v>3349.8675</v>
      </c>
      <c r="C13" s="123">
        <f t="shared" si="5"/>
        <v>2335.048333</v>
      </c>
      <c r="D13" s="123">
        <f t="shared" si="5"/>
        <v>2923.178</v>
      </c>
      <c r="E13" s="123">
        <f t="shared" si="5"/>
        <v>2523.59</v>
      </c>
      <c r="F13" s="123">
        <f t="shared" si="5"/>
        <v>3797.675</v>
      </c>
      <c r="G13" s="123">
        <f t="shared" si="5"/>
        <v>2631.996</v>
      </c>
      <c r="H13" s="123">
        <f t="shared" si="5"/>
        <v>5099.755</v>
      </c>
      <c r="I13" s="123" t="str">
        <f t="shared" si="5"/>
        <v>-</v>
      </c>
      <c r="J13" s="123" t="str">
        <f t="shared" si="5"/>
        <v>-</v>
      </c>
      <c r="K13" s="123" t="str">
        <f t="shared" si="5"/>
        <v>-</v>
      </c>
      <c r="L13" s="123" t="str">
        <f t="shared" si="5"/>
        <v>-</v>
      </c>
      <c r="M13" s="123" t="str">
        <f t="shared" si="5"/>
        <v>-</v>
      </c>
      <c r="N13" s="123" t="str">
        <f t="shared" si="5"/>
        <v>-</v>
      </c>
      <c r="O13" s="123" t="str">
        <f t="shared" si="5"/>
        <v>-</v>
      </c>
      <c r="P13" s="123" t="str">
        <f t="shared" si="5"/>
        <v>-</v>
      </c>
      <c r="Q13" s="123" t="str">
        <f t="shared" si="5"/>
        <v>-</v>
      </c>
      <c r="R13" s="123" t="str">
        <f t="shared" si="5"/>
        <v>-</v>
      </c>
      <c r="S13" s="123" t="str">
        <f t="shared" si="5"/>
        <v>-</v>
      </c>
      <c r="T13" s="123" t="str">
        <f t="shared" si="5"/>
        <v>-</v>
      </c>
      <c r="U13" s="123" t="str">
        <f t="shared" si="5"/>
        <v>-</v>
      </c>
      <c r="V13" s="123" t="str">
        <f t="shared" si="5"/>
        <v>-</v>
      </c>
      <c r="W13" s="123" t="str">
        <f t="shared" si="5"/>
        <v>-</v>
      </c>
      <c r="X13" s="123" t="str">
        <f t="shared" si="5"/>
        <v>-</v>
      </c>
      <c r="Y13" s="123" t="str">
        <f t="shared" si="5"/>
        <v>-</v>
      </c>
      <c r="Z13" s="123" t="str">
        <f t="shared" si="5"/>
        <v>-</v>
      </c>
      <c r="AA13" s="123" t="str">
        <f t="shared" si="5"/>
        <v>-</v>
      </c>
      <c r="AB13" s="123" t="str">
        <f t="shared" si="5"/>
        <v>-</v>
      </c>
      <c r="AC13" s="123" t="str">
        <f t="shared" si="5"/>
        <v>-</v>
      </c>
      <c r="AD13" s="123" t="str">
        <f t="shared" si="5"/>
        <v>-</v>
      </c>
      <c r="AE13" s="123" t="str">
        <f t="shared" si="5"/>
        <v>-</v>
      </c>
      <c r="AF13" s="123" t="str">
        <f t="shared" si="5"/>
        <v>-</v>
      </c>
    </row>
    <row r="14">
      <c r="A14" s="121" t="s">
        <v>99</v>
      </c>
      <c r="B14" s="122">
        <v>13399.47</v>
      </c>
      <c r="C14" s="122">
        <v>14010.29</v>
      </c>
      <c r="D14" s="122">
        <v>14615.89</v>
      </c>
      <c r="E14" s="122">
        <v>15141.54</v>
      </c>
      <c r="F14" s="122">
        <v>15190.7</v>
      </c>
      <c r="G14" s="122">
        <v>13159.98</v>
      </c>
      <c r="H14" s="122">
        <v>20399.02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133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106</v>
      </c>
      <c r="B16" s="27" t="s">
        <v>1</v>
      </c>
      <c r="C16" s="28" t="s">
        <v>2</v>
      </c>
      <c r="D16" s="28" t="s">
        <v>3</v>
      </c>
      <c r="E16" s="28" t="s">
        <v>4</v>
      </c>
      <c r="F16" s="29" t="s">
        <v>5</v>
      </c>
      <c r="G16" s="29" t="s">
        <v>6</v>
      </c>
      <c r="H16" s="29" t="s">
        <v>105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>
        <v>15.0</v>
      </c>
      <c r="C17" s="78">
        <f>SUM(B21:AF21)</f>
        <v>4</v>
      </c>
      <c r="D17" s="93">
        <f>C17/B17</f>
        <v>0.2666666667</v>
      </c>
      <c r="E17" s="91">
        <f>B17-C17</f>
        <v>11</v>
      </c>
      <c r="F17" s="78">
        <f>C17/M3*M2</f>
        <v>17.71428571</v>
      </c>
      <c r="G17" s="124">
        <f>F17/B17</f>
        <v>1.180952381</v>
      </c>
      <c r="H17" s="78">
        <f>F17-B17</f>
        <v>2.714285714</v>
      </c>
      <c r="I17" s="114">
        <f>E17/(M2-M3)</f>
        <v>0.4583333333</v>
      </c>
      <c r="J17" s="115">
        <f>C17/M3</f>
        <v>0.5714285714</v>
      </c>
      <c r="K17" s="13"/>
      <c r="L17" s="13"/>
    </row>
    <row r="18">
      <c r="A18" s="112" t="s">
        <v>94</v>
      </c>
      <c r="B18" s="78">
        <f>B19/B17</f>
        <v>3000</v>
      </c>
      <c r="C18" s="132">
        <f>IFERROR(C19/C17,"-")</f>
        <v>3250</v>
      </c>
      <c r="D18" s="93"/>
      <c r="E18" s="84"/>
      <c r="F18" s="132">
        <f>IFERROR(F19/F17,"-")</f>
        <v>3250</v>
      </c>
      <c r="G18" s="134">
        <f>IFERROR(F18/B18,"-")</f>
        <v>1.083333333</v>
      </c>
      <c r="H18" s="79"/>
      <c r="I18" s="78"/>
      <c r="J18" s="116"/>
      <c r="K18" s="13"/>
      <c r="L18" s="13"/>
    </row>
    <row r="19">
      <c r="A19" s="112" t="s">
        <v>95</v>
      </c>
      <c r="B19" s="113">
        <v>45000.0</v>
      </c>
      <c r="C19" s="78">
        <f>SUM(B23:AF23)</f>
        <v>13000</v>
      </c>
      <c r="D19" s="93">
        <f>C19/B19</f>
        <v>0.2888888889</v>
      </c>
      <c r="E19" s="78">
        <f>B19-C19</f>
        <v>32000</v>
      </c>
      <c r="F19" s="78">
        <f>C19/M3*M2</f>
        <v>57571.42857</v>
      </c>
      <c r="G19" s="124">
        <f>F19/B19</f>
        <v>1.279365079</v>
      </c>
      <c r="H19" s="78">
        <f>F19-B19</f>
        <v>12571.42857</v>
      </c>
      <c r="I19" s="78">
        <f>E19/(M2-M3)</f>
        <v>1333.333333</v>
      </c>
      <c r="J19" s="91">
        <f>C19/M3</f>
        <v>1857.142857</v>
      </c>
      <c r="K19" s="87"/>
      <c r="L19" s="13"/>
    </row>
    <row r="20">
      <c r="A20" s="119" t="s">
        <v>107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>
        <v>2.0</v>
      </c>
      <c r="C21" s="122">
        <v>0.0</v>
      </c>
      <c r="D21" s="122">
        <v>1.0</v>
      </c>
      <c r="E21" s="122">
        <v>0.0</v>
      </c>
      <c r="F21" s="122">
        <v>0.0</v>
      </c>
      <c r="G21" s="122">
        <v>0.0</v>
      </c>
      <c r="H21" s="122">
        <v>1.0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>
      <c r="A22" s="121" t="s">
        <v>94</v>
      </c>
      <c r="B22" s="123">
        <f t="shared" ref="B22:AF22" si="6">IFERROR(B23/B21,"-")</f>
        <v>3500</v>
      </c>
      <c r="C22" s="123" t="str">
        <f t="shared" si="6"/>
        <v>-</v>
      </c>
      <c r="D22" s="123">
        <f t="shared" si="6"/>
        <v>3000</v>
      </c>
      <c r="E22" s="123" t="str">
        <f t="shared" si="6"/>
        <v>-</v>
      </c>
      <c r="F22" s="123" t="str">
        <f t="shared" si="6"/>
        <v>-</v>
      </c>
      <c r="G22" s="123" t="str">
        <f t="shared" si="6"/>
        <v>-</v>
      </c>
      <c r="H22" s="123">
        <f t="shared" si="6"/>
        <v>3000</v>
      </c>
      <c r="I22" s="123" t="str">
        <f t="shared" si="6"/>
        <v>-</v>
      </c>
      <c r="J22" s="123" t="str">
        <f t="shared" si="6"/>
        <v>-</v>
      </c>
      <c r="K22" s="123" t="str">
        <f t="shared" si="6"/>
        <v>-</v>
      </c>
      <c r="L22" s="123" t="str">
        <f t="shared" si="6"/>
        <v>-</v>
      </c>
      <c r="M22" s="123" t="str">
        <f t="shared" si="6"/>
        <v>-</v>
      </c>
      <c r="N22" s="123" t="str">
        <f t="shared" si="6"/>
        <v>-</v>
      </c>
      <c r="O22" s="123" t="str">
        <f t="shared" si="6"/>
        <v>-</v>
      </c>
      <c r="P22" s="123" t="str">
        <f t="shared" si="6"/>
        <v>-</v>
      </c>
      <c r="Q22" s="123" t="str">
        <f t="shared" si="6"/>
        <v>-</v>
      </c>
      <c r="R22" s="123" t="str">
        <f t="shared" si="6"/>
        <v>-</v>
      </c>
      <c r="S22" s="123" t="str">
        <f t="shared" si="6"/>
        <v>-</v>
      </c>
      <c r="T22" s="123" t="str">
        <f t="shared" si="6"/>
        <v>-</v>
      </c>
      <c r="U22" s="123" t="str">
        <f t="shared" si="6"/>
        <v>-</v>
      </c>
      <c r="V22" s="123" t="str">
        <f t="shared" si="6"/>
        <v>-</v>
      </c>
      <c r="W22" s="123" t="str">
        <f t="shared" si="6"/>
        <v>-</v>
      </c>
      <c r="X22" s="123" t="str">
        <f t="shared" si="6"/>
        <v>-</v>
      </c>
      <c r="Y22" s="123" t="str">
        <f t="shared" si="6"/>
        <v>-</v>
      </c>
      <c r="Z22" s="123" t="str">
        <f t="shared" si="6"/>
        <v>-</v>
      </c>
      <c r="AA22" s="123" t="str">
        <f t="shared" si="6"/>
        <v>-</v>
      </c>
      <c r="AB22" s="123" t="str">
        <f t="shared" si="6"/>
        <v>-</v>
      </c>
      <c r="AC22" s="123" t="str">
        <f t="shared" si="6"/>
        <v>-</v>
      </c>
      <c r="AD22" s="123" t="str">
        <f t="shared" si="6"/>
        <v>-</v>
      </c>
      <c r="AE22" s="123" t="str">
        <f t="shared" si="6"/>
        <v>-</v>
      </c>
      <c r="AF22" s="123" t="str">
        <f t="shared" si="6"/>
        <v>-</v>
      </c>
    </row>
    <row r="23">
      <c r="A23" s="121" t="s">
        <v>99</v>
      </c>
      <c r="B23" s="122">
        <v>7000.0</v>
      </c>
      <c r="C23" s="122">
        <v>0.0</v>
      </c>
      <c r="D23" s="122">
        <v>3000.0</v>
      </c>
      <c r="E23" s="122">
        <v>0.0</v>
      </c>
      <c r="F23" s="122">
        <v>0.0</v>
      </c>
      <c r="G23" s="122">
        <v>0.0</v>
      </c>
      <c r="H23" s="122">
        <v>3000.0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>
      <c r="A24" s="35"/>
      <c r="B24" s="53"/>
      <c r="C24" s="53"/>
      <c r="D24" s="53"/>
      <c r="E24" s="53"/>
      <c r="F24" s="55"/>
      <c r="G24" s="55"/>
      <c r="H24" s="54"/>
      <c r="I24" s="54"/>
      <c r="J24" s="54"/>
      <c r="K24" s="54"/>
      <c r="L24" s="54"/>
    </row>
    <row r="25">
      <c r="A25" s="26" t="s">
        <v>100</v>
      </c>
      <c r="B25" s="27" t="s">
        <v>1</v>
      </c>
      <c r="C25" s="28" t="s">
        <v>2</v>
      </c>
      <c r="D25" s="28" t="s">
        <v>3</v>
      </c>
      <c r="E25" s="28" t="s">
        <v>4</v>
      </c>
      <c r="F25" s="29" t="s">
        <v>5</v>
      </c>
      <c r="G25" s="29" t="s">
        <v>6</v>
      </c>
      <c r="H25" s="29" t="s">
        <v>105</v>
      </c>
      <c r="I25" s="28" t="s">
        <v>8</v>
      </c>
      <c r="J25" s="29" t="s">
        <v>10</v>
      </c>
      <c r="K25" s="16"/>
      <c r="L25" s="51"/>
    </row>
    <row r="26">
      <c r="A26" s="112" t="s">
        <v>93</v>
      </c>
      <c r="B26" s="113">
        <v>122.0</v>
      </c>
      <c r="C26" s="78">
        <f>SUM(B30:AF30)</f>
        <v>16</v>
      </c>
      <c r="D26" s="93">
        <f>C26/B26</f>
        <v>0.131147541</v>
      </c>
      <c r="E26" s="91">
        <f>B26-C26</f>
        <v>106</v>
      </c>
      <c r="F26" s="78">
        <f>C26/M3*M2</f>
        <v>70.85714286</v>
      </c>
      <c r="G26" s="124">
        <f t="shared" ref="G26:G28" si="7">F26/B26</f>
        <v>0.5807962529</v>
      </c>
      <c r="H26" s="78">
        <f>F26-B26</f>
        <v>-51.14285714</v>
      </c>
      <c r="I26" s="114">
        <f>E26/(M2-M3)</f>
        <v>4.416666667</v>
      </c>
      <c r="J26" s="115">
        <f>C26/M3</f>
        <v>2.285714286</v>
      </c>
      <c r="K26" s="79"/>
      <c r="L26" s="79"/>
    </row>
    <row r="27">
      <c r="A27" s="112" t="s">
        <v>94</v>
      </c>
      <c r="B27" s="78">
        <f>B28/B26</f>
        <v>3500</v>
      </c>
      <c r="C27" s="132">
        <f>IFERROR(C28/C26,"-")</f>
        <v>6355.34125</v>
      </c>
      <c r="D27" s="93"/>
      <c r="E27" s="79"/>
      <c r="F27" s="78">
        <f>F28/F26</f>
        <v>6355.34125</v>
      </c>
      <c r="G27" s="93">
        <f t="shared" si="7"/>
        <v>1.815811786</v>
      </c>
      <c r="H27" s="79"/>
      <c r="I27" s="78"/>
      <c r="J27" s="116"/>
      <c r="K27" s="79"/>
      <c r="L27" s="79"/>
    </row>
    <row r="28">
      <c r="A28" s="112" t="s">
        <v>95</v>
      </c>
      <c r="B28" s="113">
        <v>427000.0</v>
      </c>
      <c r="C28" s="78">
        <f>SUM(B32:AF32)</f>
        <v>101685.46</v>
      </c>
      <c r="D28" s="93">
        <f>C28/B28</f>
        <v>0.2381392506</v>
      </c>
      <c r="E28" s="78">
        <f>B28-C28</f>
        <v>325314.54</v>
      </c>
      <c r="F28" s="78">
        <f>C28/M3*M2</f>
        <v>450321.3229</v>
      </c>
      <c r="G28" s="124">
        <f t="shared" si="7"/>
        <v>1.054616681</v>
      </c>
      <c r="H28" s="78">
        <f>F28-B28</f>
        <v>23321.32286</v>
      </c>
      <c r="I28" s="78">
        <f>E28/(M2-M3)</f>
        <v>13554.7725</v>
      </c>
      <c r="J28" s="91">
        <f>C28/M3</f>
        <v>14526.49429</v>
      </c>
      <c r="K28" s="79"/>
      <c r="L28" s="79"/>
    </row>
    <row r="29">
      <c r="A29" s="119" t="s">
        <v>101</v>
      </c>
      <c r="B29" s="120">
        <v>44531.0</v>
      </c>
      <c r="C29" s="120">
        <v>44532.0</v>
      </c>
      <c r="D29" s="120">
        <v>44533.0</v>
      </c>
      <c r="E29" s="120">
        <v>44534.0</v>
      </c>
      <c r="F29" s="120">
        <v>44535.0</v>
      </c>
      <c r="G29" s="120">
        <v>44536.0</v>
      </c>
      <c r="H29" s="120">
        <v>44537.0</v>
      </c>
      <c r="I29" s="120">
        <v>44538.0</v>
      </c>
      <c r="J29" s="120">
        <v>44539.0</v>
      </c>
      <c r="K29" s="120">
        <v>44540.0</v>
      </c>
      <c r="L29" s="120">
        <v>44541.0</v>
      </c>
      <c r="M29" s="120">
        <v>44542.0</v>
      </c>
      <c r="N29" s="120">
        <v>44543.0</v>
      </c>
      <c r="O29" s="120">
        <v>44544.0</v>
      </c>
      <c r="P29" s="120">
        <v>44545.0</v>
      </c>
      <c r="Q29" s="120">
        <v>44546.0</v>
      </c>
      <c r="R29" s="120">
        <v>44547.0</v>
      </c>
      <c r="S29" s="120">
        <v>44548.0</v>
      </c>
      <c r="T29" s="120">
        <v>44549.0</v>
      </c>
      <c r="U29" s="120">
        <v>44550.0</v>
      </c>
      <c r="V29" s="120">
        <v>44551.0</v>
      </c>
      <c r="W29" s="120">
        <v>44552.0</v>
      </c>
      <c r="X29" s="120">
        <v>44553.0</v>
      </c>
      <c r="Y29" s="120">
        <v>44554.0</v>
      </c>
      <c r="Z29" s="120">
        <v>44555.0</v>
      </c>
      <c r="AA29" s="120">
        <v>44556.0</v>
      </c>
      <c r="AB29" s="120">
        <v>44557.0</v>
      </c>
      <c r="AC29" s="120">
        <v>44558.0</v>
      </c>
      <c r="AD29" s="120">
        <v>44559.0</v>
      </c>
      <c r="AE29" s="120">
        <v>44560.0</v>
      </c>
      <c r="AF29" s="120">
        <v>44561.0</v>
      </c>
    </row>
    <row r="30">
      <c r="A30" s="121" t="s">
        <v>93</v>
      </c>
      <c r="B30" s="122">
        <v>3.0</v>
      </c>
      <c r="C30" s="122">
        <v>1.0</v>
      </c>
      <c r="D30" s="122">
        <v>1.0</v>
      </c>
      <c r="E30" s="122">
        <v>4.0</v>
      </c>
      <c r="F30" s="122">
        <v>3.0</v>
      </c>
      <c r="G30" s="122">
        <v>2.0</v>
      </c>
      <c r="H30" s="122">
        <v>2.0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>
      <c r="A31" s="121" t="s">
        <v>94</v>
      </c>
      <c r="B31" s="123">
        <f t="shared" ref="B31:AF31" si="8">IFERROR(B32/B30,"-")</f>
        <v>3931.2</v>
      </c>
      <c r="C31" s="123">
        <f t="shared" si="8"/>
        <v>10716.65</v>
      </c>
      <c r="D31" s="123">
        <f t="shared" si="8"/>
        <v>15787.78</v>
      </c>
      <c r="E31" s="123">
        <f t="shared" si="8"/>
        <v>4055.4375</v>
      </c>
      <c r="F31" s="123">
        <f t="shared" si="8"/>
        <v>4754.65</v>
      </c>
      <c r="G31" s="123">
        <f t="shared" si="8"/>
        <v>7417.31</v>
      </c>
      <c r="H31" s="123">
        <f t="shared" si="8"/>
        <v>9033.555</v>
      </c>
      <c r="I31" s="123" t="str">
        <f t="shared" si="8"/>
        <v>-</v>
      </c>
      <c r="J31" s="123" t="str">
        <f t="shared" si="8"/>
        <v>-</v>
      </c>
      <c r="K31" s="123" t="str">
        <f t="shared" si="8"/>
        <v>-</v>
      </c>
      <c r="L31" s="123" t="str">
        <f t="shared" si="8"/>
        <v>-</v>
      </c>
      <c r="M31" s="123" t="str">
        <f t="shared" si="8"/>
        <v>-</v>
      </c>
      <c r="N31" s="123" t="str">
        <f t="shared" si="8"/>
        <v>-</v>
      </c>
      <c r="O31" s="123" t="str">
        <f t="shared" si="8"/>
        <v>-</v>
      </c>
      <c r="P31" s="123" t="str">
        <f t="shared" si="8"/>
        <v>-</v>
      </c>
      <c r="Q31" s="123" t="str">
        <f t="shared" si="8"/>
        <v>-</v>
      </c>
      <c r="R31" s="123" t="str">
        <f t="shared" si="8"/>
        <v>-</v>
      </c>
      <c r="S31" s="123" t="str">
        <f t="shared" si="8"/>
        <v>-</v>
      </c>
      <c r="T31" s="123" t="str">
        <f t="shared" si="8"/>
        <v>-</v>
      </c>
      <c r="U31" s="123" t="str">
        <f t="shared" si="8"/>
        <v>-</v>
      </c>
      <c r="V31" s="123" t="str">
        <f t="shared" si="8"/>
        <v>-</v>
      </c>
      <c r="W31" s="123" t="str">
        <f t="shared" si="8"/>
        <v>-</v>
      </c>
      <c r="X31" s="123" t="str">
        <f t="shared" si="8"/>
        <v>-</v>
      </c>
      <c r="Y31" s="123" t="str">
        <f t="shared" si="8"/>
        <v>-</v>
      </c>
      <c r="Z31" s="123" t="str">
        <f t="shared" si="8"/>
        <v>-</v>
      </c>
      <c r="AA31" s="123" t="str">
        <f t="shared" si="8"/>
        <v>-</v>
      </c>
      <c r="AB31" s="123" t="str">
        <f t="shared" si="8"/>
        <v>-</v>
      </c>
      <c r="AC31" s="123" t="str">
        <f t="shared" si="8"/>
        <v>-</v>
      </c>
      <c r="AD31" s="123" t="str">
        <f t="shared" si="8"/>
        <v>-</v>
      </c>
      <c r="AE31" s="123" t="str">
        <f t="shared" si="8"/>
        <v>-</v>
      </c>
      <c r="AF31" s="123" t="str">
        <f t="shared" si="8"/>
        <v>-</v>
      </c>
    </row>
    <row r="32">
      <c r="A32" s="121" t="s">
        <v>99</v>
      </c>
      <c r="B32" s="122">
        <v>11793.6</v>
      </c>
      <c r="C32" s="122">
        <v>10716.65</v>
      </c>
      <c r="D32" s="122">
        <v>15787.78</v>
      </c>
      <c r="E32" s="122">
        <v>16221.75</v>
      </c>
      <c r="F32" s="122">
        <v>14263.95</v>
      </c>
      <c r="G32" s="122">
        <v>14834.62</v>
      </c>
      <c r="H32" s="122">
        <v>18067.11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>
      <c r="A33" s="125"/>
      <c r="B33" s="9"/>
      <c r="C33" s="13"/>
      <c r="D33" s="13"/>
      <c r="E33" s="13"/>
      <c r="F33" s="126"/>
      <c r="G33" s="126"/>
      <c r="H33" s="126"/>
      <c r="I33" s="16"/>
      <c r="J33" s="126"/>
      <c r="K33" s="16"/>
    </row>
    <row r="34">
      <c r="A34" s="125"/>
      <c r="B34" s="9"/>
      <c r="C34" s="13"/>
      <c r="D34" s="13"/>
      <c r="E34" s="13"/>
      <c r="F34" s="126"/>
      <c r="G34" s="126"/>
      <c r="H34" s="126"/>
      <c r="I34" s="16"/>
      <c r="J34" s="126"/>
      <c r="K34" s="16"/>
    </row>
    <row r="35">
      <c r="A35" s="125"/>
      <c r="B35" s="9"/>
      <c r="C35" s="13"/>
      <c r="D35" s="13"/>
      <c r="E35" s="13"/>
      <c r="F35" s="126"/>
      <c r="G35" s="126"/>
      <c r="H35" s="126"/>
      <c r="I35" s="16"/>
      <c r="J35" s="126"/>
      <c r="K35" s="16"/>
    </row>
    <row r="36">
      <c r="A36" s="100" t="s">
        <v>102</v>
      </c>
      <c r="B36" s="101" t="s">
        <v>1</v>
      </c>
      <c r="C36" s="102" t="s">
        <v>2</v>
      </c>
      <c r="D36" s="127" t="s">
        <v>3</v>
      </c>
      <c r="E36" s="102" t="s">
        <v>4</v>
      </c>
      <c r="F36" s="103" t="s">
        <v>5</v>
      </c>
      <c r="G36" s="103" t="s">
        <v>6</v>
      </c>
      <c r="H36" s="103" t="s">
        <v>105</v>
      </c>
      <c r="I36" s="104" t="s">
        <v>8</v>
      </c>
      <c r="J36" s="103" t="s">
        <v>10</v>
      </c>
      <c r="K36" s="16"/>
    </row>
    <row r="37">
      <c r="A37" s="105" t="s">
        <v>93</v>
      </c>
      <c r="B37" s="9">
        <f t="shared" ref="B37:C37" si="9">B43+B52+B61</f>
        <v>215</v>
      </c>
      <c r="C37" s="9">
        <f t="shared" si="9"/>
        <v>239</v>
      </c>
      <c r="D37" s="10">
        <f>C37/B37</f>
        <v>1.111627907</v>
      </c>
      <c r="E37" s="9">
        <f>B37-C37</f>
        <v>-24</v>
      </c>
      <c r="F37" s="9"/>
      <c r="G37" s="10"/>
      <c r="H37" s="9"/>
      <c r="I37" s="106"/>
      <c r="J37" s="46">
        <f>C37/30</f>
        <v>7.966666667</v>
      </c>
      <c r="K37" s="107"/>
      <c r="M37" s="91"/>
      <c r="N37" s="108"/>
    </row>
    <row r="38">
      <c r="A38" s="105" t="s">
        <v>94</v>
      </c>
      <c r="B38" s="8">
        <f>B39/B37</f>
        <v>3576.744186</v>
      </c>
      <c r="C38" s="130">
        <f>IFERROR(C39/C37,"-")</f>
        <v>3181.827573</v>
      </c>
      <c r="D38" s="10"/>
      <c r="E38" s="109"/>
      <c r="F38" s="9"/>
      <c r="G38" s="10"/>
      <c r="H38" s="109"/>
      <c r="I38" s="109"/>
      <c r="J38" s="107"/>
      <c r="K38" s="107"/>
      <c r="M38" s="91"/>
      <c r="N38" s="108"/>
    </row>
    <row r="39">
      <c r="A39" s="105" t="s">
        <v>95</v>
      </c>
      <c r="B39" s="9">
        <f t="shared" ref="B39:C39" si="10">B45+B54+B63</f>
        <v>769000</v>
      </c>
      <c r="C39" s="9">
        <f t="shared" si="10"/>
        <v>760456.79</v>
      </c>
      <c r="D39" s="10">
        <f>C39/B39</f>
        <v>0.9888904941</v>
      </c>
      <c r="E39" s="9">
        <f>B39-C39</f>
        <v>8543.21</v>
      </c>
      <c r="F39" s="9"/>
      <c r="G39" s="10"/>
      <c r="H39" s="9"/>
      <c r="I39" s="19"/>
      <c r="J39" s="19">
        <f>C39/30</f>
        <v>25348.55967</v>
      </c>
      <c r="K39" s="107"/>
    </row>
    <row r="41">
      <c r="A41" s="110" t="s">
        <v>96</v>
      </c>
      <c r="B41" s="22"/>
      <c r="C41" s="131"/>
      <c r="D41" s="23"/>
      <c r="E41" s="23"/>
      <c r="F41" s="23"/>
      <c r="G41" s="23"/>
      <c r="H41" s="23"/>
      <c r="I41" s="23"/>
      <c r="J41" s="23"/>
      <c r="K41" s="24"/>
      <c r="L41" s="24"/>
    </row>
    <row r="42">
      <c r="A42" s="26" t="s">
        <v>97</v>
      </c>
      <c r="B42" s="27" t="s">
        <v>1</v>
      </c>
      <c r="C42" s="28" t="s">
        <v>2</v>
      </c>
      <c r="D42" s="28" t="s">
        <v>3</v>
      </c>
      <c r="E42" s="28" t="s">
        <v>4</v>
      </c>
      <c r="F42" s="29" t="s">
        <v>5</v>
      </c>
      <c r="G42" s="29" t="s">
        <v>6</v>
      </c>
      <c r="H42" s="29" t="s">
        <v>105</v>
      </c>
      <c r="I42" s="28" t="s">
        <v>8</v>
      </c>
      <c r="J42" s="29" t="s">
        <v>10</v>
      </c>
      <c r="K42" s="16"/>
      <c r="L42" s="111"/>
    </row>
    <row r="43">
      <c r="A43" s="112" t="s">
        <v>93</v>
      </c>
      <c r="B43" s="113">
        <v>105.0</v>
      </c>
      <c r="C43" s="78">
        <f>SUM(B47:AF47)-3</f>
        <v>128</v>
      </c>
      <c r="D43" s="93">
        <f>C43/B43</f>
        <v>1.219047619</v>
      </c>
      <c r="E43" s="91">
        <f>B43-C43</f>
        <v>-23</v>
      </c>
      <c r="F43" s="78"/>
      <c r="G43" s="93"/>
      <c r="H43" s="78"/>
      <c r="I43" s="114"/>
      <c r="J43" s="115">
        <f>C43/30</f>
        <v>4.266666667</v>
      </c>
      <c r="K43" s="116"/>
      <c r="L43" s="13"/>
    </row>
    <row r="44">
      <c r="A44" s="112" t="s">
        <v>94</v>
      </c>
      <c r="B44" s="78">
        <f>B45/B43</f>
        <v>3800</v>
      </c>
      <c r="C44" s="132">
        <f>IFERROR(C45/C43,"-")</f>
        <v>3141.887734</v>
      </c>
      <c r="D44" s="93"/>
      <c r="E44" s="79"/>
      <c r="F44" s="78"/>
      <c r="G44" s="93"/>
      <c r="H44" s="116"/>
      <c r="I44" s="117"/>
      <c r="J44" s="116"/>
      <c r="K44" s="116"/>
      <c r="L44" s="13"/>
    </row>
    <row r="45">
      <c r="A45" s="112" t="s">
        <v>95</v>
      </c>
      <c r="B45" s="113">
        <v>399000.0</v>
      </c>
      <c r="C45" s="78">
        <f>SUM(B49:AF49)-626.56</f>
        <v>402161.63</v>
      </c>
      <c r="D45" s="93">
        <f>C45/B45</f>
        <v>1.007923885</v>
      </c>
      <c r="E45" s="78">
        <f>B45-C45</f>
        <v>-3161.63</v>
      </c>
      <c r="F45" s="78"/>
      <c r="G45" s="93"/>
      <c r="H45" s="78"/>
      <c r="I45" s="78"/>
      <c r="J45" s="91">
        <f>C45/30</f>
        <v>13405.38767</v>
      </c>
      <c r="K45" s="118"/>
      <c r="L45" s="13"/>
    </row>
    <row r="46">
      <c r="A46" s="119" t="s">
        <v>98</v>
      </c>
      <c r="B46" s="120">
        <v>44501.0</v>
      </c>
      <c r="C46" s="120">
        <v>44502.0</v>
      </c>
      <c r="D46" s="120">
        <v>44503.0</v>
      </c>
      <c r="E46" s="120">
        <v>44504.0</v>
      </c>
      <c r="F46" s="120">
        <v>44505.0</v>
      </c>
      <c r="G46" s="120">
        <v>44506.0</v>
      </c>
      <c r="H46" s="120">
        <v>44507.0</v>
      </c>
      <c r="I46" s="120">
        <v>44508.0</v>
      </c>
      <c r="J46" s="120">
        <v>44509.0</v>
      </c>
      <c r="K46" s="120">
        <v>44510.0</v>
      </c>
      <c r="L46" s="120">
        <v>44511.0</v>
      </c>
      <c r="M46" s="120">
        <v>44512.0</v>
      </c>
      <c r="N46" s="120">
        <v>44513.0</v>
      </c>
      <c r="O46" s="120">
        <v>44514.0</v>
      </c>
      <c r="P46" s="120">
        <v>44515.0</v>
      </c>
      <c r="Q46" s="120">
        <v>44516.0</v>
      </c>
      <c r="R46" s="120">
        <v>44517.0</v>
      </c>
      <c r="S46" s="120">
        <v>44518.0</v>
      </c>
      <c r="T46" s="120">
        <v>44519.0</v>
      </c>
      <c r="U46" s="120">
        <v>44520.0</v>
      </c>
      <c r="V46" s="120">
        <v>44521.0</v>
      </c>
      <c r="W46" s="120">
        <v>44522.0</v>
      </c>
      <c r="X46" s="120">
        <v>44523.0</v>
      </c>
      <c r="Y46" s="120">
        <v>44524.0</v>
      </c>
      <c r="Z46" s="120">
        <v>44525.0</v>
      </c>
      <c r="AA46" s="120">
        <v>44526.0</v>
      </c>
      <c r="AB46" s="120">
        <v>44527.0</v>
      </c>
      <c r="AC46" s="120">
        <v>44528.0</v>
      </c>
      <c r="AD46" s="120">
        <v>44529.0</v>
      </c>
      <c r="AE46" s="120">
        <v>44530.0</v>
      </c>
      <c r="AF46" s="120"/>
    </row>
    <row r="47">
      <c r="A47" s="121" t="s">
        <v>93</v>
      </c>
      <c r="B47" s="122">
        <v>4.0</v>
      </c>
      <c r="C47" s="122">
        <v>6.0</v>
      </c>
      <c r="D47" s="122">
        <v>4.0</v>
      </c>
      <c r="E47" s="122">
        <v>5.0</v>
      </c>
      <c r="F47" s="122">
        <v>7.0</v>
      </c>
      <c r="G47" s="122">
        <v>9.0</v>
      </c>
      <c r="H47" s="122">
        <v>3.0</v>
      </c>
      <c r="I47" s="122">
        <v>4.0</v>
      </c>
      <c r="J47" s="122">
        <v>4.0</v>
      </c>
      <c r="K47" s="122">
        <v>3.0</v>
      </c>
      <c r="L47" s="122">
        <v>3.0</v>
      </c>
      <c r="M47" s="122">
        <v>4.0</v>
      </c>
      <c r="N47" s="122">
        <v>6.0</v>
      </c>
      <c r="O47" s="122">
        <v>3.0</v>
      </c>
      <c r="P47" s="122">
        <v>3.0</v>
      </c>
      <c r="Q47" s="122">
        <v>5.0</v>
      </c>
      <c r="R47" s="122">
        <v>6.0</v>
      </c>
      <c r="S47" s="122">
        <v>3.0</v>
      </c>
      <c r="T47" s="122">
        <v>9.0</v>
      </c>
      <c r="U47" s="122">
        <v>1.0</v>
      </c>
      <c r="V47" s="122">
        <v>3.0</v>
      </c>
      <c r="W47" s="122">
        <v>4.0</v>
      </c>
      <c r="X47" s="122">
        <v>7.0</v>
      </c>
      <c r="Y47" s="122">
        <v>3.0</v>
      </c>
      <c r="Z47" s="122">
        <v>2.0</v>
      </c>
      <c r="AA47" s="122">
        <v>3.0</v>
      </c>
      <c r="AB47" s="122">
        <v>4.0</v>
      </c>
      <c r="AC47" s="122">
        <v>4.0</v>
      </c>
      <c r="AD47" s="122">
        <v>3.0</v>
      </c>
      <c r="AE47" s="122">
        <v>6.0</v>
      </c>
      <c r="AF47" s="122"/>
    </row>
    <row r="48">
      <c r="A48" s="121" t="s">
        <v>94</v>
      </c>
      <c r="B48" s="123">
        <f t="shared" ref="B48:AE48" si="11">IFERROR(B49/B47,"-")</f>
        <v>3619.67</v>
      </c>
      <c r="C48" s="123">
        <f t="shared" si="11"/>
        <v>2305.406667</v>
      </c>
      <c r="D48" s="123">
        <f t="shared" si="11"/>
        <v>4260.5675</v>
      </c>
      <c r="E48" s="123">
        <f t="shared" si="11"/>
        <v>2455.652</v>
      </c>
      <c r="F48" s="123">
        <f t="shared" si="11"/>
        <v>1719.592857</v>
      </c>
      <c r="G48" s="123">
        <f t="shared" si="11"/>
        <v>1218.008889</v>
      </c>
      <c r="H48" s="123">
        <f t="shared" si="11"/>
        <v>4010.386667</v>
      </c>
      <c r="I48" s="123">
        <f t="shared" si="11"/>
        <v>3266.375</v>
      </c>
      <c r="J48" s="123">
        <f t="shared" si="11"/>
        <v>3719.12</v>
      </c>
      <c r="K48" s="123">
        <f t="shared" si="11"/>
        <v>4983.273333</v>
      </c>
      <c r="L48" s="123">
        <f t="shared" si="11"/>
        <v>4696.36</v>
      </c>
      <c r="M48" s="123">
        <f t="shared" si="11"/>
        <v>3563.49</v>
      </c>
      <c r="N48" s="123">
        <f t="shared" si="11"/>
        <v>2352.301667</v>
      </c>
      <c r="O48" s="123">
        <f t="shared" si="11"/>
        <v>4482.41</v>
      </c>
      <c r="P48" s="123">
        <f t="shared" si="11"/>
        <v>5284.576667</v>
      </c>
      <c r="Q48" s="123">
        <f t="shared" si="11"/>
        <v>2162.96</v>
      </c>
      <c r="R48" s="123">
        <f t="shared" si="11"/>
        <v>2286.318333</v>
      </c>
      <c r="S48" s="123">
        <f t="shared" si="11"/>
        <v>4523.646667</v>
      </c>
      <c r="T48" s="123">
        <f t="shared" si="11"/>
        <v>1444.488889</v>
      </c>
      <c r="U48" s="123">
        <f t="shared" si="11"/>
        <v>9350.88</v>
      </c>
      <c r="V48" s="123">
        <f t="shared" si="11"/>
        <v>3162.46</v>
      </c>
      <c r="W48" s="123">
        <f t="shared" si="11"/>
        <v>3742.85</v>
      </c>
      <c r="X48" s="123">
        <f t="shared" si="11"/>
        <v>2234.762857</v>
      </c>
      <c r="Y48" s="123">
        <f t="shared" si="11"/>
        <v>4839.183333</v>
      </c>
      <c r="Z48" s="123">
        <f t="shared" si="11"/>
        <v>7406.785</v>
      </c>
      <c r="AA48" s="123">
        <f t="shared" si="11"/>
        <v>4473.616667</v>
      </c>
      <c r="AB48" s="123">
        <f t="shared" si="11"/>
        <v>2641.8475</v>
      </c>
      <c r="AC48" s="123">
        <f t="shared" si="11"/>
        <v>2648.26</v>
      </c>
      <c r="AD48" s="123">
        <f t="shared" si="11"/>
        <v>5027.993333</v>
      </c>
      <c r="AE48" s="123">
        <f t="shared" si="11"/>
        <v>2653.851667</v>
      </c>
      <c r="AF48" s="123"/>
    </row>
    <row r="49">
      <c r="A49" s="121" t="s">
        <v>99</v>
      </c>
      <c r="B49" s="122">
        <v>14478.68</v>
      </c>
      <c r="C49" s="122">
        <v>13832.44</v>
      </c>
      <c r="D49" s="122">
        <v>17042.27</v>
      </c>
      <c r="E49" s="122">
        <v>12278.26</v>
      </c>
      <c r="F49" s="122">
        <v>12037.15</v>
      </c>
      <c r="G49" s="122">
        <v>10962.08</v>
      </c>
      <c r="H49" s="122">
        <v>12031.16</v>
      </c>
      <c r="I49" s="122">
        <v>13065.5</v>
      </c>
      <c r="J49" s="122">
        <v>14876.48</v>
      </c>
      <c r="K49" s="122">
        <v>14949.82</v>
      </c>
      <c r="L49" s="122">
        <v>14089.08</v>
      </c>
      <c r="M49" s="122">
        <v>14253.96</v>
      </c>
      <c r="N49" s="122">
        <v>14113.81</v>
      </c>
      <c r="O49" s="122">
        <v>13447.23</v>
      </c>
      <c r="P49" s="122">
        <v>15853.73</v>
      </c>
      <c r="Q49" s="122">
        <v>10814.8</v>
      </c>
      <c r="R49" s="122">
        <v>13717.91</v>
      </c>
      <c r="S49" s="122">
        <v>13570.94</v>
      </c>
      <c r="T49" s="122">
        <v>13000.4</v>
      </c>
      <c r="U49" s="122">
        <v>9350.88</v>
      </c>
      <c r="V49" s="122">
        <v>9487.38</v>
      </c>
      <c r="W49" s="122">
        <v>14971.4</v>
      </c>
      <c r="X49" s="122">
        <v>15643.34</v>
      </c>
      <c r="Y49" s="122">
        <v>14517.55</v>
      </c>
      <c r="Z49" s="122">
        <v>14813.57</v>
      </c>
      <c r="AA49" s="122">
        <v>13420.85</v>
      </c>
      <c r="AB49" s="122">
        <v>10567.39</v>
      </c>
      <c r="AC49" s="122">
        <v>10593.04</v>
      </c>
      <c r="AD49" s="122">
        <v>15083.98</v>
      </c>
      <c r="AE49" s="122">
        <v>15923.11</v>
      </c>
      <c r="AF49" s="122"/>
    </row>
    <row r="50">
      <c r="A50" s="51"/>
      <c r="B50" s="87"/>
      <c r="C50" s="133"/>
      <c r="D50" s="85"/>
      <c r="E50" s="85"/>
      <c r="F50" s="85"/>
      <c r="G50" s="85"/>
      <c r="H50" s="85"/>
      <c r="I50" s="85"/>
      <c r="J50" s="85"/>
      <c r="K50" s="51"/>
      <c r="L50" s="51"/>
    </row>
    <row r="51">
      <c r="A51" s="26" t="s">
        <v>106</v>
      </c>
      <c r="B51" s="27" t="s">
        <v>1</v>
      </c>
      <c r="C51" s="28" t="s">
        <v>2</v>
      </c>
      <c r="D51" s="28" t="s">
        <v>3</v>
      </c>
      <c r="E51" s="28" t="s">
        <v>4</v>
      </c>
      <c r="F51" s="29" t="s">
        <v>5</v>
      </c>
      <c r="G51" s="29" t="s">
        <v>6</v>
      </c>
      <c r="H51" s="29" t="s">
        <v>105</v>
      </c>
      <c r="I51" s="28" t="s">
        <v>8</v>
      </c>
      <c r="J51" s="29" t="s">
        <v>10</v>
      </c>
      <c r="K51" s="16"/>
      <c r="L51" s="51"/>
    </row>
    <row r="52">
      <c r="A52" s="112" t="s">
        <v>93</v>
      </c>
      <c r="B52" s="113">
        <v>10.0</v>
      </c>
      <c r="C52" s="78">
        <f>SUM(B56:AF56)</f>
        <v>13</v>
      </c>
      <c r="D52" s="93">
        <f>C52/B52</f>
        <v>1.3</v>
      </c>
      <c r="E52" s="91">
        <f>B52-C52</f>
        <v>-3</v>
      </c>
      <c r="F52" s="78"/>
      <c r="G52" s="124"/>
      <c r="H52" s="78"/>
      <c r="I52" s="114"/>
      <c r="J52" s="115">
        <f>C52/30</f>
        <v>0.4333333333</v>
      </c>
      <c r="K52" s="13"/>
      <c r="L52" s="13"/>
    </row>
    <row r="53">
      <c r="A53" s="112" t="s">
        <v>94</v>
      </c>
      <c r="B53" s="78">
        <f>B54/B52</f>
        <v>3000</v>
      </c>
      <c r="C53" s="132">
        <f>IFERROR(C54/C52,"-")</f>
        <v>2626.563077</v>
      </c>
      <c r="D53" s="93"/>
      <c r="E53" s="84"/>
      <c r="F53" s="132"/>
      <c r="G53" s="134"/>
      <c r="H53" s="79"/>
      <c r="I53" s="78"/>
      <c r="J53" s="116"/>
      <c r="K53" s="13"/>
      <c r="L53" s="13"/>
    </row>
    <row r="54">
      <c r="A54" s="112" t="s">
        <v>95</v>
      </c>
      <c r="B54" s="113">
        <v>30000.0</v>
      </c>
      <c r="C54" s="78">
        <f>SUM(B58:AF58)</f>
        <v>34145.32</v>
      </c>
      <c r="D54" s="93">
        <f>C54/B54</f>
        <v>1.138177333</v>
      </c>
      <c r="E54" s="78">
        <f>B54-C54</f>
        <v>-4145.32</v>
      </c>
      <c r="F54" s="78"/>
      <c r="G54" s="124"/>
      <c r="H54" s="78"/>
      <c r="I54" s="78"/>
      <c r="J54" s="91">
        <f>C54/30</f>
        <v>1138.177333</v>
      </c>
      <c r="K54" s="87"/>
      <c r="L54" s="13"/>
    </row>
    <row r="55">
      <c r="A55" s="119" t="s">
        <v>107</v>
      </c>
      <c r="B55" s="120">
        <v>44501.0</v>
      </c>
      <c r="C55" s="120">
        <v>44502.0</v>
      </c>
      <c r="D55" s="120">
        <v>44503.0</v>
      </c>
      <c r="E55" s="120">
        <v>44504.0</v>
      </c>
      <c r="F55" s="120">
        <v>44505.0</v>
      </c>
      <c r="G55" s="120">
        <v>44506.0</v>
      </c>
      <c r="H55" s="120">
        <v>44507.0</v>
      </c>
      <c r="I55" s="120">
        <v>44508.0</v>
      </c>
      <c r="J55" s="120">
        <v>44509.0</v>
      </c>
      <c r="K55" s="120">
        <v>44510.0</v>
      </c>
      <c r="L55" s="120">
        <v>44511.0</v>
      </c>
      <c r="M55" s="120">
        <v>44512.0</v>
      </c>
      <c r="N55" s="120">
        <v>44513.0</v>
      </c>
      <c r="O55" s="120">
        <v>44514.0</v>
      </c>
      <c r="P55" s="120">
        <v>44515.0</v>
      </c>
      <c r="Q55" s="120">
        <v>44516.0</v>
      </c>
      <c r="R55" s="120">
        <v>44517.0</v>
      </c>
      <c r="S55" s="120">
        <v>44518.0</v>
      </c>
      <c r="T55" s="120">
        <v>44519.0</v>
      </c>
      <c r="U55" s="120">
        <v>44520.0</v>
      </c>
      <c r="V55" s="120">
        <v>44521.0</v>
      </c>
      <c r="W55" s="120">
        <v>44522.0</v>
      </c>
      <c r="X55" s="120">
        <v>44523.0</v>
      </c>
      <c r="Y55" s="120">
        <v>44524.0</v>
      </c>
      <c r="Z55" s="120">
        <v>44525.0</v>
      </c>
      <c r="AA55" s="120">
        <v>44526.0</v>
      </c>
      <c r="AB55" s="120">
        <v>44527.0</v>
      </c>
      <c r="AC55" s="120">
        <v>44528.0</v>
      </c>
      <c r="AD55" s="120">
        <v>44529.0</v>
      </c>
      <c r="AE55" s="120">
        <v>44530.0</v>
      </c>
      <c r="AF55" s="120"/>
    </row>
    <row r="56">
      <c r="A56" s="121" t="s">
        <v>93</v>
      </c>
      <c r="B56" s="122">
        <v>0.0</v>
      </c>
      <c r="C56" s="122">
        <v>1.0</v>
      </c>
      <c r="D56" s="122">
        <v>0.0</v>
      </c>
      <c r="E56" s="122">
        <v>0.0</v>
      </c>
      <c r="F56" s="122">
        <v>0.0</v>
      </c>
      <c r="G56" s="122">
        <v>0.0</v>
      </c>
      <c r="H56" s="122">
        <v>0.0</v>
      </c>
      <c r="I56" s="122">
        <v>0.0</v>
      </c>
      <c r="J56" s="122">
        <v>0.0</v>
      </c>
      <c r="K56" s="122">
        <v>0.0</v>
      </c>
      <c r="L56" s="122">
        <v>1.0</v>
      </c>
      <c r="M56" s="122">
        <v>1.0</v>
      </c>
      <c r="N56" s="122">
        <v>0.0</v>
      </c>
      <c r="O56" s="122">
        <v>1.0</v>
      </c>
      <c r="P56" s="122">
        <v>1.0</v>
      </c>
      <c r="Q56" s="122">
        <v>0.0</v>
      </c>
      <c r="R56" s="122">
        <v>2.0</v>
      </c>
      <c r="S56" s="122">
        <v>0.0</v>
      </c>
      <c r="T56" s="122">
        <v>0.0</v>
      </c>
      <c r="U56" s="122">
        <v>1.0</v>
      </c>
      <c r="V56" s="122">
        <v>2.0</v>
      </c>
      <c r="W56" s="122">
        <v>2.0</v>
      </c>
      <c r="X56" s="122">
        <v>0.0</v>
      </c>
      <c r="Y56" s="122">
        <v>0.0</v>
      </c>
      <c r="Z56" s="122">
        <v>1.0</v>
      </c>
      <c r="AA56" s="122">
        <v>0.0</v>
      </c>
      <c r="AB56" s="122">
        <v>0.0</v>
      </c>
      <c r="AC56" s="122">
        <v>0.0</v>
      </c>
      <c r="AD56" s="122">
        <v>0.0</v>
      </c>
      <c r="AE56" s="122">
        <v>0.0</v>
      </c>
      <c r="AF56" s="122"/>
    </row>
    <row r="57">
      <c r="A57" s="121" t="s">
        <v>94</v>
      </c>
      <c r="B57" s="123" t="str">
        <f t="shared" ref="B57:AE57" si="12">IFERROR(B58/B56,"-")</f>
        <v>-</v>
      </c>
      <c r="C57" s="123">
        <f t="shared" si="12"/>
        <v>0</v>
      </c>
      <c r="D57" s="123" t="str">
        <f t="shared" si="12"/>
        <v>-</v>
      </c>
      <c r="E57" s="123" t="str">
        <f t="shared" si="12"/>
        <v>-</v>
      </c>
      <c r="F57" s="123" t="str">
        <f t="shared" si="12"/>
        <v>-</v>
      </c>
      <c r="G57" s="123" t="str">
        <f t="shared" si="12"/>
        <v>-</v>
      </c>
      <c r="H57" s="123" t="str">
        <f t="shared" si="12"/>
        <v>-</v>
      </c>
      <c r="I57" s="123" t="str">
        <f t="shared" si="12"/>
        <v>-</v>
      </c>
      <c r="J57" s="123" t="str">
        <f t="shared" si="12"/>
        <v>-</v>
      </c>
      <c r="K57" s="123" t="str">
        <f t="shared" si="12"/>
        <v>-</v>
      </c>
      <c r="L57" s="123">
        <f t="shared" si="12"/>
        <v>3000</v>
      </c>
      <c r="M57" s="123">
        <f t="shared" si="12"/>
        <v>4000</v>
      </c>
      <c r="N57" s="123" t="str">
        <f t="shared" si="12"/>
        <v>-</v>
      </c>
      <c r="O57" s="123">
        <f t="shared" si="12"/>
        <v>2145.32</v>
      </c>
      <c r="P57" s="123">
        <f t="shared" si="12"/>
        <v>3000</v>
      </c>
      <c r="Q57" s="123" t="str">
        <f t="shared" si="12"/>
        <v>-</v>
      </c>
      <c r="R57" s="123">
        <f t="shared" si="12"/>
        <v>4000</v>
      </c>
      <c r="S57" s="123" t="str">
        <f t="shared" si="12"/>
        <v>-</v>
      </c>
      <c r="T57" s="123" t="str">
        <f t="shared" si="12"/>
        <v>-</v>
      </c>
      <c r="U57" s="123">
        <f t="shared" si="12"/>
        <v>3000</v>
      </c>
      <c r="V57" s="123">
        <f t="shared" si="12"/>
        <v>3500</v>
      </c>
      <c r="W57" s="123">
        <f t="shared" si="12"/>
        <v>0</v>
      </c>
      <c r="X57" s="123" t="str">
        <f t="shared" si="12"/>
        <v>-</v>
      </c>
      <c r="Y57" s="123" t="str">
        <f t="shared" si="12"/>
        <v>-</v>
      </c>
      <c r="Z57" s="123">
        <f t="shared" si="12"/>
        <v>4000</v>
      </c>
      <c r="AA57" s="123" t="str">
        <f t="shared" si="12"/>
        <v>-</v>
      </c>
      <c r="AB57" s="123" t="str">
        <f t="shared" si="12"/>
        <v>-</v>
      </c>
      <c r="AC57" s="123" t="str">
        <f t="shared" si="12"/>
        <v>-</v>
      </c>
      <c r="AD57" s="123" t="str">
        <f t="shared" si="12"/>
        <v>-</v>
      </c>
      <c r="AE57" s="123" t="str">
        <f t="shared" si="12"/>
        <v>-</v>
      </c>
      <c r="AF57" s="123"/>
    </row>
    <row r="58">
      <c r="A58" s="121" t="s">
        <v>99</v>
      </c>
      <c r="B58" s="122">
        <v>0.0</v>
      </c>
      <c r="C58" s="122">
        <v>0.0</v>
      </c>
      <c r="D58" s="122">
        <v>0.0</v>
      </c>
      <c r="E58" s="122">
        <v>0.0</v>
      </c>
      <c r="F58" s="122">
        <v>0.0</v>
      </c>
      <c r="G58" s="122">
        <v>0.0</v>
      </c>
      <c r="H58" s="122">
        <v>0.0</v>
      </c>
      <c r="I58" s="122">
        <v>0.0</v>
      </c>
      <c r="J58" s="122">
        <v>0.0</v>
      </c>
      <c r="K58" s="122">
        <v>0.0</v>
      </c>
      <c r="L58" s="122">
        <v>3000.0</v>
      </c>
      <c r="M58" s="122">
        <v>4000.0</v>
      </c>
      <c r="N58" s="122">
        <v>0.0</v>
      </c>
      <c r="O58" s="122">
        <v>2145.32</v>
      </c>
      <c r="P58" s="122">
        <v>3000.0</v>
      </c>
      <c r="Q58" s="122">
        <v>0.0</v>
      </c>
      <c r="R58" s="122">
        <v>8000.0</v>
      </c>
      <c r="S58" s="122">
        <v>0.0</v>
      </c>
      <c r="T58" s="122">
        <v>0.0</v>
      </c>
      <c r="U58" s="122">
        <v>3000.0</v>
      </c>
      <c r="V58" s="122">
        <v>7000.0</v>
      </c>
      <c r="W58" s="122">
        <v>0.0</v>
      </c>
      <c r="X58" s="122">
        <v>0.0</v>
      </c>
      <c r="Y58" s="122">
        <v>0.0</v>
      </c>
      <c r="Z58" s="122">
        <v>4000.0</v>
      </c>
      <c r="AA58" s="122">
        <v>0.0</v>
      </c>
      <c r="AB58" s="122">
        <v>0.0</v>
      </c>
      <c r="AC58" s="122">
        <v>0.0</v>
      </c>
      <c r="AD58" s="122">
        <v>0.0</v>
      </c>
      <c r="AE58" s="122">
        <v>0.0</v>
      </c>
      <c r="AF58" s="122"/>
    </row>
    <row r="59">
      <c r="A59" s="35"/>
      <c r="B59" s="53"/>
      <c r="C59" s="53"/>
      <c r="D59" s="53"/>
      <c r="E59" s="53"/>
      <c r="F59" s="55"/>
      <c r="G59" s="55"/>
      <c r="H59" s="54"/>
      <c r="I59" s="54"/>
      <c r="J59" s="54"/>
      <c r="K59" s="54"/>
      <c r="L59" s="54"/>
    </row>
    <row r="60">
      <c r="A60" s="26" t="s">
        <v>100</v>
      </c>
      <c r="B60" s="27" t="s">
        <v>1</v>
      </c>
      <c r="C60" s="28" t="s">
        <v>2</v>
      </c>
      <c r="D60" s="28" t="s">
        <v>3</v>
      </c>
      <c r="E60" s="28" t="s">
        <v>4</v>
      </c>
      <c r="F60" s="29" t="s">
        <v>5</v>
      </c>
      <c r="G60" s="29" t="s">
        <v>6</v>
      </c>
      <c r="H60" s="29" t="s">
        <v>105</v>
      </c>
      <c r="I60" s="28" t="s">
        <v>8</v>
      </c>
      <c r="J60" s="29" t="s">
        <v>10</v>
      </c>
      <c r="K60" s="16"/>
      <c r="L60" s="51"/>
    </row>
    <row r="61">
      <c r="A61" s="112" t="s">
        <v>93</v>
      </c>
      <c r="B61" s="113">
        <v>100.0</v>
      </c>
      <c r="C61" s="78">
        <f>SUM(B65:AF65)-2</f>
        <v>98</v>
      </c>
      <c r="D61" s="93">
        <f>C61/B61</f>
        <v>0.98</v>
      </c>
      <c r="E61" s="91">
        <f>B61-C61</f>
        <v>2</v>
      </c>
      <c r="F61" s="78"/>
      <c r="G61" s="124"/>
      <c r="H61" s="78"/>
      <c r="I61" s="114"/>
      <c r="J61" s="115">
        <f>C61/30</f>
        <v>3.266666667</v>
      </c>
      <c r="K61" s="79"/>
      <c r="L61" s="79"/>
    </row>
    <row r="62">
      <c r="A62" s="112" t="s">
        <v>94</v>
      </c>
      <c r="B62" s="78">
        <f>B63/B61</f>
        <v>3400</v>
      </c>
      <c r="C62" s="132">
        <f>IFERROR(C63/C61,"-")</f>
        <v>3307.651429</v>
      </c>
      <c r="D62" s="93"/>
      <c r="E62" s="79"/>
      <c r="F62" s="78"/>
      <c r="G62" s="93"/>
      <c r="H62" s="79"/>
      <c r="I62" s="78"/>
      <c r="J62" s="116"/>
      <c r="K62" s="79"/>
      <c r="L62" s="79"/>
    </row>
    <row r="63">
      <c r="A63" s="112" t="s">
        <v>95</v>
      </c>
      <c r="B63" s="113">
        <v>340000.0</v>
      </c>
      <c r="C63" s="78">
        <f>SUM(B67:AF67)-840</f>
        <v>324149.84</v>
      </c>
      <c r="D63" s="93">
        <f>C63/B63</f>
        <v>0.9533818824</v>
      </c>
      <c r="E63" s="78">
        <f>B63-C63</f>
        <v>15850.16</v>
      </c>
      <c r="F63" s="78"/>
      <c r="G63" s="124"/>
      <c r="H63" s="78"/>
      <c r="I63" s="78"/>
      <c r="J63" s="91">
        <f>C63/30</f>
        <v>10804.99467</v>
      </c>
      <c r="K63" s="79"/>
      <c r="L63" s="79"/>
    </row>
    <row r="64">
      <c r="A64" s="119" t="s">
        <v>101</v>
      </c>
      <c r="B64" s="120">
        <v>44501.0</v>
      </c>
      <c r="C64" s="120">
        <v>44502.0</v>
      </c>
      <c r="D64" s="120">
        <v>44503.0</v>
      </c>
      <c r="E64" s="120">
        <v>44504.0</v>
      </c>
      <c r="F64" s="120">
        <v>44505.0</v>
      </c>
      <c r="G64" s="120">
        <v>44506.0</v>
      </c>
      <c r="H64" s="120">
        <v>44507.0</v>
      </c>
      <c r="I64" s="120">
        <v>44508.0</v>
      </c>
      <c r="J64" s="120">
        <v>44509.0</v>
      </c>
      <c r="K64" s="120">
        <v>44510.0</v>
      </c>
      <c r="L64" s="120">
        <v>44511.0</v>
      </c>
      <c r="M64" s="120">
        <v>44512.0</v>
      </c>
      <c r="N64" s="120">
        <v>44513.0</v>
      </c>
      <c r="O64" s="120">
        <v>44514.0</v>
      </c>
      <c r="P64" s="120">
        <v>44515.0</v>
      </c>
      <c r="Q64" s="120">
        <v>44516.0</v>
      </c>
      <c r="R64" s="120">
        <v>44517.0</v>
      </c>
      <c r="S64" s="120">
        <v>44518.0</v>
      </c>
      <c r="T64" s="120">
        <v>44519.0</v>
      </c>
      <c r="U64" s="120">
        <v>44520.0</v>
      </c>
      <c r="V64" s="120">
        <v>44521.0</v>
      </c>
      <c r="W64" s="120">
        <v>44522.0</v>
      </c>
      <c r="X64" s="120">
        <v>44523.0</v>
      </c>
      <c r="Y64" s="120">
        <v>44524.0</v>
      </c>
      <c r="Z64" s="120">
        <v>44525.0</v>
      </c>
      <c r="AA64" s="120">
        <v>44526.0</v>
      </c>
      <c r="AB64" s="120">
        <v>44527.0</v>
      </c>
      <c r="AC64" s="120">
        <v>44528.0</v>
      </c>
      <c r="AD64" s="120">
        <v>44529.0</v>
      </c>
      <c r="AE64" s="120">
        <v>44530.0</v>
      </c>
      <c r="AF64" s="120"/>
    </row>
    <row r="65">
      <c r="A65" s="121" t="s">
        <v>93</v>
      </c>
      <c r="B65" s="122">
        <v>4.0</v>
      </c>
      <c r="C65" s="122">
        <v>4.0</v>
      </c>
      <c r="D65" s="122">
        <v>5.0</v>
      </c>
      <c r="E65" s="122">
        <v>3.0</v>
      </c>
      <c r="F65" s="122">
        <v>6.0</v>
      </c>
      <c r="G65" s="122">
        <v>4.0</v>
      </c>
      <c r="H65" s="122">
        <v>5.0</v>
      </c>
      <c r="I65" s="122">
        <v>4.0</v>
      </c>
      <c r="J65" s="122">
        <v>9.0</v>
      </c>
      <c r="K65" s="122">
        <v>5.0</v>
      </c>
      <c r="L65" s="122">
        <v>3.0</v>
      </c>
      <c r="M65" s="122">
        <v>4.0</v>
      </c>
      <c r="N65" s="122">
        <v>4.0</v>
      </c>
      <c r="O65" s="122">
        <v>5.0</v>
      </c>
      <c r="P65" s="122">
        <v>2.0</v>
      </c>
      <c r="Q65" s="122">
        <v>2.0</v>
      </c>
      <c r="R65" s="122">
        <v>2.0</v>
      </c>
      <c r="S65" s="122">
        <v>2.0</v>
      </c>
      <c r="T65" s="122">
        <v>4.0</v>
      </c>
      <c r="U65" s="122">
        <v>1.0</v>
      </c>
      <c r="V65" s="122">
        <v>1.0</v>
      </c>
      <c r="W65" s="122">
        <v>4.0</v>
      </c>
      <c r="X65" s="122">
        <v>3.0</v>
      </c>
      <c r="Y65" s="122">
        <v>1.0</v>
      </c>
      <c r="Z65" s="122">
        <v>0.0</v>
      </c>
      <c r="AA65" s="122">
        <v>2.0</v>
      </c>
      <c r="AB65" s="122">
        <v>4.0</v>
      </c>
      <c r="AC65" s="122">
        <v>0.0</v>
      </c>
      <c r="AD65" s="122">
        <v>5.0</v>
      </c>
      <c r="AE65" s="122">
        <v>2.0</v>
      </c>
      <c r="AF65" s="122"/>
    </row>
    <row r="66">
      <c r="A66" s="121" t="s">
        <v>94</v>
      </c>
      <c r="B66" s="123">
        <f t="shared" ref="B66:AE66" si="13">IFERROR(B67/B65,"-")</f>
        <v>3436.0625</v>
      </c>
      <c r="C66" s="123">
        <f t="shared" si="13"/>
        <v>2429.2625</v>
      </c>
      <c r="D66" s="123">
        <f t="shared" si="13"/>
        <v>2166.912</v>
      </c>
      <c r="E66" s="123">
        <f t="shared" si="13"/>
        <v>3420.666667</v>
      </c>
      <c r="F66" s="123">
        <f t="shared" si="13"/>
        <v>1225.326667</v>
      </c>
      <c r="G66" s="123">
        <f t="shared" si="13"/>
        <v>2253.4775</v>
      </c>
      <c r="H66" s="123">
        <f t="shared" si="13"/>
        <v>2231.116</v>
      </c>
      <c r="I66" s="123">
        <f t="shared" si="13"/>
        <v>2756.025</v>
      </c>
      <c r="J66" s="123">
        <f t="shared" si="13"/>
        <v>1333.028889</v>
      </c>
      <c r="K66" s="123">
        <f t="shared" si="13"/>
        <v>2339.44</v>
      </c>
      <c r="L66" s="123">
        <f t="shared" si="13"/>
        <v>3518.98</v>
      </c>
      <c r="M66" s="123">
        <f t="shared" si="13"/>
        <v>3052.57</v>
      </c>
      <c r="N66" s="123">
        <f t="shared" si="13"/>
        <v>3064.18</v>
      </c>
      <c r="O66" s="123">
        <f t="shared" si="13"/>
        <v>2270.618</v>
      </c>
      <c r="P66" s="123">
        <f t="shared" si="13"/>
        <v>5965.46</v>
      </c>
      <c r="Q66" s="123">
        <f t="shared" si="13"/>
        <v>6225.415</v>
      </c>
      <c r="R66" s="123">
        <f t="shared" si="13"/>
        <v>1803.565</v>
      </c>
      <c r="S66" s="123">
        <f t="shared" si="13"/>
        <v>6588.055</v>
      </c>
      <c r="T66" s="123">
        <f t="shared" si="13"/>
        <v>2650.915</v>
      </c>
      <c r="U66" s="123">
        <f t="shared" si="13"/>
        <v>11301.84</v>
      </c>
      <c r="V66" s="123">
        <f t="shared" si="13"/>
        <v>10222.92</v>
      </c>
      <c r="W66" s="123">
        <f t="shared" si="13"/>
        <v>2695.96</v>
      </c>
      <c r="X66" s="123">
        <f t="shared" si="13"/>
        <v>3257.666667</v>
      </c>
      <c r="Y66" s="123">
        <f t="shared" si="13"/>
        <v>7791.94</v>
      </c>
      <c r="Z66" s="123" t="str">
        <f t="shared" si="13"/>
        <v>-</v>
      </c>
      <c r="AA66" s="123">
        <f t="shared" si="13"/>
        <v>3633.115</v>
      </c>
      <c r="AB66" s="123">
        <f t="shared" si="13"/>
        <v>2701.2625</v>
      </c>
      <c r="AC66" s="123" t="str">
        <f t="shared" si="13"/>
        <v>-</v>
      </c>
      <c r="AD66" s="123">
        <f t="shared" si="13"/>
        <v>4620.278</v>
      </c>
      <c r="AE66" s="123">
        <f t="shared" si="13"/>
        <v>4919.99</v>
      </c>
      <c r="AF66" s="123"/>
    </row>
    <row r="67">
      <c r="A67" s="121" t="s">
        <v>99</v>
      </c>
      <c r="B67" s="122">
        <v>13744.25</v>
      </c>
      <c r="C67" s="122">
        <v>9717.05</v>
      </c>
      <c r="D67" s="122">
        <v>10834.56</v>
      </c>
      <c r="E67" s="122">
        <v>10262.0</v>
      </c>
      <c r="F67" s="122">
        <v>7351.96</v>
      </c>
      <c r="G67" s="122">
        <v>9013.91</v>
      </c>
      <c r="H67" s="122">
        <v>11155.58</v>
      </c>
      <c r="I67" s="122">
        <v>11024.1</v>
      </c>
      <c r="J67" s="122">
        <v>11997.26</v>
      </c>
      <c r="K67" s="122">
        <v>11697.2</v>
      </c>
      <c r="L67" s="122">
        <v>10556.94</v>
      </c>
      <c r="M67" s="122">
        <v>12210.28</v>
      </c>
      <c r="N67" s="122">
        <v>12256.72</v>
      </c>
      <c r="O67" s="122">
        <v>11353.09</v>
      </c>
      <c r="P67" s="122">
        <v>11930.92</v>
      </c>
      <c r="Q67" s="122">
        <v>12450.83</v>
      </c>
      <c r="R67" s="122">
        <v>3607.13</v>
      </c>
      <c r="S67" s="122">
        <v>13176.11</v>
      </c>
      <c r="T67" s="122">
        <v>10603.66</v>
      </c>
      <c r="U67" s="122">
        <v>11301.84</v>
      </c>
      <c r="V67" s="122">
        <v>10222.92</v>
      </c>
      <c r="W67" s="122">
        <v>10783.84</v>
      </c>
      <c r="X67" s="122">
        <v>9773.0</v>
      </c>
      <c r="Y67" s="122">
        <v>7791.94</v>
      </c>
      <c r="Z67" s="122">
        <v>10513.32</v>
      </c>
      <c r="AA67" s="122">
        <v>7266.23</v>
      </c>
      <c r="AB67" s="122">
        <v>10805.05</v>
      </c>
      <c r="AC67" s="122">
        <v>8646.78</v>
      </c>
      <c r="AD67" s="122">
        <v>23101.39</v>
      </c>
      <c r="AE67" s="122">
        <v>9839.98</v>
      </c>
      <c r="AF67" s="122"/>
    </row>
    <row r="68">
      <c r="A68" s="105"/>
      <c r="B68" s="9"/>
      <c r="C68" s="9"/>
      <c r="D68" s="10"/>
      <c r="E68" s="9"/>
      <c r="F68" s="9"/>
      <c r="G68" s="10"/>
      <c r="H68" s="9"/>
      <c r="I68" s="106"/>
      <c r="J68" s="46"/>
      <c r="K68" s="107"/>
      <c r="M68" s="91"/>
      <c r="N68" s="108"/>
    </row>
    <row r="69">
      <c r="A69" s="105"/>
      <c r="B69" s="9"/>
      <c r="C69" s="9"/>
      <c r="D69" s="10"/>
      <c r="E69" s="9"/>
      <c r="F69" s="9"/>
      <c r="G69" s="10"/>
      <c r="H69" s="9"/>
      <c r="I69" s="106"/>
      <c r="J69" s="46"/>
      <c r="K69" s="107"/>
      <c r="M69" s="91"/>
      <c r="N69" s="108"/>
    </row>
    <row r="70">
      <c r="A70" s="105"/>
      <c r="B70" s="9"/>
      <c r="C70" s="9"/>
      <c r="D70" s="10"/>
      <c r="E70" s="9"/>
      <c r="F70" s="9"/>
      <c r="G70" s="10"/>
      <c r="H70" s="9"/>
      <c r="I70" s="106"/>
      <c r="J70" s="46"/>
      <c r="K70" s="107"/>
      <c r="M70" s="91"/>
      <c r="N70" s="108"/>
    </row>
    <row r="71">
      <c r="A71" s="100" t="s">
        <v>103</v>
      </c>
      <c r="B71" s="101" t="s">
        <v>1</v>
      </c>
      <c r="C71" s="102" t="s">
        <v>2</v>
      </c>
      <c r="D71" s="127" t="s">
        <v>3</v>
      </c>
      <c r="E71" s="102" t="s">
        <v>4</v>
      </c>
      <c r="F71" s="103" t="s">
        <v>5</v>
      </c>
      <c r="G71" s="103" t="s">
        <v>6</v>
      </c>
      <c r="H71" s="103" t="s">
        <v>105</v>
      </c>
      <c r="I71" s="104" t="s">
        <v>8</v>
      </c>
      <c r="J71" s="103" t="s">
        <v>10</v>
      </c>
      <c r="K71" s="107"/>
      <c r="M71" s="91"/>
      <c r="N71" s="108"/>
    </row>
    <row r="72">
      <c r="A72" s="105" t="s">
        <v>93</v>
      </c>
      <c r="B72" s="9">
        <f t="shared" ref="B72:C72" si="14">B78+B87+B96</f>
        <v>238</v>
      </c>
      <c r="C72" s="9">
        <f t="shared" si="14"/>
        <v>272</v>
      </c>
      <c r="D72" s="10">
        <f>C72/B72</f>
        <v>1.142857143</v>
      </c>
      <c r="E72" s="9">
        <f>B72-C72</f>
        <v>-34</v>
      </c>
      <c r="F72" s="9"/>
      <c r="G72" s="10"/>
      <c r="H72" s="9"/>
      <c r="I72" s="106"/>
      <c r="J72" s="46">
        <f>C72/31</f>
        <v>8.774193548</v>
      </c>
      <c r="K72" s="107"/>
      <c r="M72" s="91"/>
      <c r="N72" s="108"/>
    </row>
    <row r="73">
      <c r="A73" s="105" t="s">
        <v>94</v>
      </c>
      <c r="B73" s="8">
        <f>B74/B72</f>
        <v>3776.470588</v>
      </c>
      <c r="C73" s="130">
        <f>IFERROR(C74/C72,"-")</f>
        <v>3223.491029</v>
      </c>
      <c r="D73" s="10"/>
      <c r="E73" s="109"/>
      <c r="F73" s="9"/>
      <c r="G73" s="10"/>
      <c r="H73" s="109"/>
      <c r="I73" s="109"/>
      <c r="J73" s="107"/>
      <c r="K73" s="107"/>
      <c r="M73" s="91"/>
      <c r="N73" s="108"/>
    </row>
    <row r="74">
      <c r="A74" s="105" t="s">
        <v>95</v>
      </c>
      <c r="B74" s="9">
        <f t="shared" ref="B74:C74" si="15">B80+B89+B98</f>
        <v>898800</v>
      </c>
      <c r="C74" s="9">
        <f t="shared" si="15"/>
        <v>876789.56</v>
      </c>
      <c r="D74" s="10">
        <f>C74/B74</f>
        <v>0.975511304</v>
      </c>
      <c r="E74" s="9">
        <f>B74-C74</f>
        <v>22010.44</v>
      </c>
      <c r="F74" s="9"/>
      <c r="G74" s="10"/>
      <c r="H74" s="9"/>
      <c r="I74" s="19"/>
      <c r="J74" s="19">
        <f>C74/31</f>
        <v>28283.53419</v>
      </c>
      <c r="K74" s="107"/>
    </row>
    <row r="76">
      <c r="A76" s="110" t="s">
        <v>96</v>
      </c>
      <c r="B76" s="22"/>
      <c r="C76" s="131"/>
      <c r="D76" s="23"/>
      <c r="E76" s="23"/>
      <c r="F76" s="23"/>
      <c r="G76" s="23"/>
      <c r="H76" s="23"/>
      <c r="I76" s="23"/>
      <c r="J76" s="23"/>
      <c r="K76" s="24"/>
      <c r="L76" s="24"/>
    </row>
    <row r="77">
      <c r="A77" s="26" t="s">
        <v>97</v>
      </c>
      <c r="B77" s="27" t="s">
        <v>1</v>
      </c>
      <c r="C77" s="28" t="s">
        <v>2</v>
      </c>
      <c r="D77" s="28" t="s">
        <v>3</v>
      </c>
      <c r="E77" s="28" t="s">
        <v>4</v>
      </c>
      <c r="F77" s="29" t="s">
        <v>5</v>
      </c>
      <c r="G77" s="29" t="s">
        <v>6</v>
      </c>
      <c r="H77" s="29" t="s">
        <v>105</v>
      </c>
      <c r="I77" s="28" t="s">
        <v>8</v>
      </c>
      <c r="J77" s="29" t="s">
        <v>10</v>
      </c>
      <c r="K77" s="16"/>
      <c r="L77" s="111"/>
    </row>
    <row r="78">
      <c r="A78" s="112" t="s">
        <v>93</v>
      </c>
      <c r="B78" s="113">
        <v>107.0</v>
      </c>
      <c r="C78" s="78">
        <f>SUM(B82:AF82)</f>
        <v>139</v>
      </c>
      <c r="D78" s="93">
        <f>C78/B78</f>
        <v>1.299065421</v>
      </c>
      <c r="E78" s="91">
        <f>B78-C78</f>
        <v>-32</v>
      </c>
      <c r="F78" s="78"/>
      <c r="G78" s="93"/>
      <c r="H78" s="78"/>
      <c r="I78" s="114"/>
      <c r="J78" s="115">
        <f>C78/31</f>
        <v>4.483870968</v>
      </c>
      <c r="K78" s="116"/>
      <c r="L78" s="13"/>
    </row>
    <row r="79">
      <c r="A79" s="112" t="s">
        <v>94</v>
      </c>
      <c r="B79" s="78">
        <f>B80/B78</f>
        <v>3800</v>
      </c>
      <c r="C79" s="132">
        <f>IFERROR(C80/C78,"-")</f>
        <v>2906.546331</v>
      </c>
      <c r="D79" s="93"/>
      <c r="E79" s="79"/>
      <c r="F79" s="78"/>
      <c r="G79" s="93"/>
      <c r="H79" s="116"/>
      <c r="I79" s="117"/>
      <c r="J79" s="116"/>
      <c r="K79" s="116"/>
      <c r="L79" s="13"/>
    </row>
    <row r="80">
      <c r="A80" s="112" t="s">
        <v>95</v>
      </c>
      <c r="B80" s="113">
        <v>406600.0</v>
      </c>
      <c r="C80" s="78">
        <f>SUM(B84:AF84)-168.36</f>
        <v>404009.94</v>
      </c>
      <c r="D80" s="93">
        <f>C80/B80</f>
        <v>0.9936299557</v>
      </c>
      <c r="E80" s="78">
        <f>B80-C80</f>
        <v>2590.06</v>
      </c>
      <c r="F80" s="78"/>
      <c r="G80" s="93"/>
      <c r="H80" s="78"/>
      <c r="I80" s="78"/>
      <c r="J80" s="91">
        <f>C80/31</f>
        <v>13032.57871</v>
      </c>
      <c r="K80" s="118"/>
      <c r="L80" s="13"/>
    </row>
    <row r="81">
      <c r="A81" s="119" t="s">
        <v>98</v>
      </c>
      <c r="B81" s="120">
        <v>44470.0</v>
      </c>
      <c r="C81" s="120">
        <v>44471.0</v>
      </c>
      <c r="D81" s="120">
        <v>44472.0</v>
      </c>
      <c r="E81" s="120">
        <v>44473.0</v>
      </c>
      <c r="F81" s="120">
        <v>44474.0</v>
      </c>
      <c r="G81" s="120">
        <v>44475.0</v>
      </c>
      <c r="H81" s="120">
        <v>44476.0</v>
      </c>
      <c r="I81" s="120">
        <v>44477.0</v>
      </c>
      <c r="J81" s="120">
        <v>44478.0</v>
      </c>
      <c r="K81" s="120">
        <v>44479.0</v>
      </c>
      <c r="L81" s="120">
        <v>44480.0</v>
      </c>
      <c r="M81" s="120">
        <v>44481.0</v>
      </c>
      <c r="N81" s="120">
        <v>44482.0</v>
      </c>
      <c r="O81" s="120">
        <v>44483.0</v>
      </c>
      <c r="P81" s="120">
        <v>44484.0</v>
      </c>
      <c r="Q81" s="120">
        <v>44485.0</v>
      </c>
      <c r="R81" s="120">
        <v>44486.0</v>
      </c>
      <c r="S81" s="120">
        <v>44487.0</v>
      </c>
      <c r="T81" s="120">
        <v>44488.0</v>
      </c>
      <c r="U81" s="120">
        <v>44489.0</v>
      </c>
      <c r="V81" s="120">
        <v>44490.0</v>
      </c>
      <c r="W81" s="120">
        <v>44491.0</v>
      </c>
      <c r="X81" s="120">
        <v>44492.0</v>
      </c>
      <c r="Y81" s="120">
        <v>44493.0</v>
      </c>
      <c r="Z81" s="120">
        <v>44494.0</v>
      </c>
      <c r="AA81" s="120">
        <v>44495.0</v>
      </c>
      <c r="AB81" s="120">
        <v>44496.0</v>
      </c>
      <c r="AC81" s="120">
        <v>44497.0</v>
      </c>
      <c r="AD81" s="120">
        <v>44498.0</v>
      </c>
      <c r="AE81" s="120">
        <v>44499.0</v>
      </c>
      <c r="AF81" s="120">
        <v>44500.0</v>
      </c>
    </row>
    <row r="82">
      <c r="A82" s="121" t="s">
        <v>93</v>
      </c>
      <c r="B82" s="122">
        <v>11.0</v>
      </c>
      <c r="C82" s="122">
        <v>3.0</v>
      </c>
      <c r="D82" s="122">
        <v>3.0</v>
      </c>
      <c r="E82" s="122">
        <v>5.0</v>
      </c>
      <c r="F82" s="122">
        <v>5.0</v>
      </c>
      <c r="G82" s="122">
        <v>2.0</v>
      </c>
      <c r="H82" s="122">
        <v>5.0</v>
      </c>
      <c r="I82" s="122">
        <v>3.0</v>
      </c>
      <c r="J82" s="122">
        <v>3.0</v>
      </c>
      <c r="K82" s="122">
        <v>1.0</v>
      </c>
      <c r="L82" s="122">
        <v>6.0</v>
      </c>
      <c r="M82" s="122">
        <v>3.0</v>
      </c>
      <c r="N82" s="122">
        <v>5.0</v>
      </c>
      <c r="O82" s="122">
        <v>4.0</v>
      </c>
      <c r="P82" s="122">
        <v>4.0</v>
      </c>
      <c r="Q82" s="122">
        <v>1.0</v>
      </c>
      <c r="R82" s="122">
        <v>4.0</v>
      </c>
      <c r="S82" s="122">
        <v>3.0</v>
      </c>
      <c r="T82" s="122">
        <v>8.0</v>
      </c>
      <c r="U82" s="122">
        <v>7.0</v>
      </c>
      <c r="V82" s="122">
        <v>4.0</v>
      </c>
      <c r="W82" s="122">
        <v>6.0</v>
      </c>
      <c r="X82" s="122">
        <v>5.0</v>
      </c>
      <c r="Y82" s="122">
        <v>5.0</v>
      </c>
      <c r="Z82" s="122">
        <v>1.0</v>
      </c>
      <c r="AA82" s="122">
        <v>5.0</v>
      </c>
      <c r="AB82" s="122">
        <v>7.0</v>
      </c>
      <c r="AC82" s="122">
        <v>9.0</v>
      </c>
      <c r="AD82" s="122">
        <v>3.0</v>
      </c>
      <c r="AE82" s="122">
        <v>4.0</v>
      </c>
      <c r="AF82" s="122">
        <v>4.0</v>
      </c>
    </row>
    <row r="83">
      <c r="A83" s="121" t="s">
        <v>94</v>
      </c>
      <c r="B83" s="123">
        <f t="shared" ref="B83:AF83" si="16">IFERROR(B84/B82,"-")</f>
        <v>1740.463636</v>
      </c>
      <c r="C83" s="123">
        <f t="shared" si="16"/>
        <v>3613.576667</v>
      </c>
      <c r="D83" s="123">
        <f t="shared" si="16"/>
        <v>4324.623333</v>
      </c>
      <c r="E83" s="123">
        <f t="shared" si="16"/>
        <v>2353.216</v>
      </c>
      <c r="F83" s="123">
        <f t="shared" si="16"/>
        <v>2686.608</v>
      </c>
      <c r="G83" s="123">
        <f t="shared" si="16"/>
        <v>6883.16</v>
      </c>
      <c r="H83" s="123">
        <f t="shared" si="16"/>
        <v>2652.6</v>
      </c>
      <c r="I83" s="123">
        <f t="shared" si="16"/>
        <v>4117.39</v>
      </c>
      <c r="J83" s="123">
        <f t="shared" si="16"/>
        <v>2889.786667</v>
      </c>
      <c r="K83" s="123">
        <f t="shared" si="16"/>
        <v>7747.87</v>
      </c>
      <c r="L83" s="123">
        <f t="shared" si="16"/>
        <v>2153.485</v>
      </c>
      <c r="M83" s="123">
        <f t="shared" si="16"/>
        <v>4339.126667</v>
      </c>
      <c r="N83" s="123">
        <f t="shared" si="16"/>
        <v>3212.014</v>
      </c>
      <c r="O83" s="123">
        <f t="shared" si="16"/>
        <v>3777.8025</v>
      </c>
      <c r="P83" s="123">
        <f t="shared" si="16"/>
        <v>3424.3775</v>
      </c>
      <c r="Q83" s="123">
        <f t="shared" si="16"/>
        <v>9789.42</v>
      </c>
      <c r="R83" s="123">
        <f t="shared" si="16"/>
        <v>2200.885</v>
      </c>
      <c r="S83" s="123">
        <f t="shared" si="16"/>
        <v>4998.9</v>
      </c>
      <c r="T83" s="123">
        <f t="shared" si="16"/>
        <v>2279.63625</v>
      </c>
      <c r="U83" s="123">
        <f t="shared" si="16"/>
        <v>2060.632857</v>
      </c>
      <c r="V83" s="123">
        <f t="shared" si="16"/>
        <v>3421.305</v>
      </c>
      <c r="W83" s="123">
        <f t="shared" si="16"/>
        <v>2176.438333</v>
      </c>
      <c r="X83" s="123">
        <f t="shared" si="16"/>
        <v>1846.452</v>
      </c>
      <c r="Y83" s="123">
        <f t="shared" si="16"/>
        <v>1945.128</v>
      </c>
      <c r="Z83" s="123">
        <f t="shared" si="16"/>
        <v>15325.78</v>
      </c>
      <c r="AA83" s="123">
        <f t="shared" si="16"/>
        <v>3227.158</v>
      </c>
      <c r="AB83" s="123">
        <f t="shared" si="16"/>
        <v>2165.741429</v>
      </c>
      <c r="AC83" s="123">
        <f t="shared" si="16"/>
        <v>1795.612222</v>
      </c>
      <c r="AD83" s="123">
        <f t="shared" si="16"/>
        <v>3766.68</v>
      </c>
      <c r="AE83" s="123">
        <f t="shared" si="16"/>
        <v>2876.2375</v>
      </c>
      <c r="AF83" s="123">
        <f t="shared" si="16"/>
        <v>2968.3725</v>
      </c>
    </row>
    <row r="84">
      <c r="A84" s="121" t="s">
        <v>99</v>
      </c>
      <c r="B84" s="122">
        <v>19145.1</v>
      </c>
      <c r="C84" s="122">
        <v>10840.73</v>
      </c>
      <c r="D84" s="122">
        <v>12973.87</v>
      </c>
      <c r="E84" s="122">
        <v>11766.08</v>
      </c>
      <c r="F84" s="122">
        <v>13433.04</v>
      </c>
      <c r="G84" s="122">
        <v>13766.32</v>
      </c>
      <c r="H84" s="122">
        <v>13263.0</v>
      </c>
      <c r="I84" s="122">
        <v>12352.17</v>
      </c>
      <c r="J84" s="122">
        <v>8669.36</v>
      </c>
      <c r="K84" s="122">
        <v>7747.87</v>
      </c>
      <c r="L84" s="122">
        <v>12920.91</v>
      </c>
      <c r="M84" s="122">
        <v>13017.38</v>
      </c>
      <c r="N84" s="122">
        <v>16060.07</v>
      </c>
      <c r="O84" s="122">
        <v>15111.21</v>
      </c>
      <c r="P84" s="122">
        <v>13697.51</v>
      </c>
      <c r="Q84" s="122">
        <v>9789.42</v>
      </c>
      <c r="R84" s="122">
        <v>8803.54</v>
      </c>
      <c r="S84" s="122">
        <v>14996.7</v>
      </c>
      <c r="T84" s="122">
        <v>18237.09</v>
      </c>
      <c r="U84" s="122">
        <v>14424.43</v>
      </c>
      <c r="V84" s="122">
        <v>13685.22</v>
      </c>
      <c r="W84" s="122">
        <v>13058.63</v>
      </c>
      <c r="X84" s="122">
        <v>9232.26</v>
      </c>
      <c r="Y84" s="122">
        <v>9725.64</v>
      </c>
      <c r="Z84" s="122">
        <v>15325.78</v>
      </c>
      <c r="AA84" s="122">
        <v>16135.79</v>
      </c>
      <c r="AB84" s="122">
        <v>15160.19</v>
      </c>
      <c r="AC84" s="122">
        <v>16160.51</v>
      </c>
      <c r="AD84" s="122">
        <v>11300.04</v>
      </c>
      <c r="AE84" s="122">
        <v>11504.95</v>
      </c>
      <c r="AF84" s="122">
        <v>11873.49</v>
      </c>
    </row>
    <row r="85">
      <c r="A85" s="51"/>
      <c r="B85" s="87"/>
      <c r="C85" s="133"/>
      <c r="D85" s="85"/>
      <c r="E85" s="85"/>
      <c r="F85" s="85"/>
      <c r="G85" s="85"/>
      <c r="H85" s="85"/>
      <c r="I85" s="85"/>
      <c r="J85" s="85"/>
      <c r="K85" s="51"/>
      <c r="L85" s="51"/>
    </row>
    <row r="86">
      <c r="A86" s="26" t="s">
        <v>106</v>
      </c>
      <c r="B86" s="27" t="s">
        <v>1</v>
      </c>
      <c r="C86" s="28" t="s">
        <v>2</v>
      </c>
      <c r="D86" s="28" t="s">
        <v>3</v>
      </c>
      <c r="E86" s="28" t="s">
        <v>4</v>
      </c>
      <c r="F86" s="29" t="s">
        <v>5</v>
      </c>
      <c r="G86" s="29" t="s">
        <v>6</v>
      </c>
      <c r="H86" s="29" t="s">
        <v>105</v>
      </c>
      <c r="I86" s="28" t="s">
        <v>8</v>
      </c>
      <c r="J86" s="29" t="s">
        <v>10</v>
      </c>
      <c r="K86" s="16"/>
      <c r="L86" s="51"/>
    </row>
    <row r="87">
      <c r="A87" s="112" t="s">
        <v>93</v>
      </c>
      <c r="B87" s="113">
        <v>4.0</v>
      </c>
      <c r="C87" s="78">
        <f>SUM(B91:AF91)</f>
        <v>19</v>
      </c>
      <c r="D87" s="93">
        <f>C87/B87</f>
        <v>4.75</v>
      </c>
      <c r="E87" s="91">
        <f>B87-C87</f>
        <v>-15</v>
      </c>
      <c r="F87" s="78"/>
      <c r="G87" s="124"/>
      <c r="H87" s="78"/>
      <c r="I87" s="114"/>
      <c r="J87" s="115">
        <f>C87/31</f>
        <v>0.6129032258</v>
      </c>
      <c r="K87" s="13"/>
      <c r="L87" s="13"/>
    </row>
    <row r="88">
      <c r="A88" s="112" t="s">
        <v>94</v>
      </c>
      <c r="B88" s="78">
        <f>B89/B87</f>
        <v>2400</v>
      </c>
      <c r="C88" s="132">
        <f>IFERROR(C89/C87,"-")</f>
        <v>4578.741053</v>
      </c>
      <c r="D88" s="93"/>
      <c r="E88" s="84"/>
      <c r="F88" s="132"/>
      <c r="G88" s="134"/>
      <c r="H88" s="79"/>
      <c r="I88" s="78"/>
      <c r="J88" s="116"/>
      <c r="K88" s="13"/>
      <c r="L88" s="13"/>
    </row>
    <row r="89">
      <c r="A89" s="112" t="s">
        <v>95</v>
      </c>
      <c r="B89" s="113">
        <v>9600.0</v>
      </c>
      <c r="C89" s="78">
        <f>SUM(B93:AF93)</f>
        <v>86996.08</v>
      </c>
      <c r="D89" s="93">
        <f>C89/B89</f>
        <v>9.062091667</v>
      </c>
      <c r="E89" s="78">
        <f>B89-C89</f>
        <v>-77396.08</v>
      </c>
      <c r="F89" s="78"/>
      <c r="G89" s="124"/>
      <c r="H89" s="78"/>
      <c r="I89" s="78"/>
      <c r="J89" s="91">
        <f>C89/31</f>
        <v>2806.325161</v>
      </c>
      <c r="K89" s="87"/>
      <c r="L89" s="13"/>
    </row>
    <row r="90">
      <c r="A90" s="119" t="s">
        <v>107</v>
      </c>
      <c r="B90" s="120">
        <v>44470.0</v>
      </c>
      <c r="C90" s="120">
        <v>44471.0</v>
      </c>
      <c r="D90" s="120">
        <v>44472.0</v>
      </c>
      <c r="E90" s="120">
        <v>44473.0</v>
      </c>
      <c r="F90" s="120">
        <v>44474.0</v>
      </c>
      <c r="G90" s="120">
        <v>44475.0</v>
      </c>
      <c r="H90" s="120">
        <v>44476.0</v>
      </c>
      <c r="I90" s="120">
        <v>44477.0</v>
      </c>
      <c r="J90" s="120">
        <v>44478.0</v>
      </c>
      <c r="K90" s="120">
        <v>44479.0</v>
      </c>
      <c r="L90" s="120">
        <v>44480.0</v>
      </c>
      <c r="M90" s="120">
        <v>44481.0</v>
      </c>
      <c r="N90" s="120">
        <v>44482.0</v>
      </c>
      <c r="O90" s="120">
        <v>44483.0</v>
      </c>
      <c r="P90" s="120">
        <v>44484.0</v>
      </c>
      <c r="Q90" s="120">
        <v>44485.0</v>
      </c>
      <c r="R90" s="120">
        <v>44486.0</v>
      </c>
      <c r="S90" s="120">
        <v>44487.0</v>
      </c>
      <c r="T90" s="120">
        <v>44488.0</v>
      </c>
      <c r="U90" s="120">
        <v>44489.0</v>
      </c>
      <c r="V90" s="120">
        <v>44490.0</v>
      </c>
      <c r="W90" s="120">
        <v>44491.0</v>
      </c>
      <c r="X90" s="120">
        <v>44492.0</v>
      </c>
      <c r="Y90" s="120">
        <v>44493.0</v>
      </c>
      <c r="Z90" s="120">
        <v>44494.0</v>
      </c>
      <c r="AA90" s="120">
        <v>44495.0</v>
      </c>
      <c r="AB90" s="120">
        <v>44496.0</v>
      </c>
      <c r="AC90" s="120">
        <v>44497.0</v>
      </c>
      <c r="AD90" s="120">
        <v>44498.0</v>
      </c>
      <c r="AE90" s="120">
        <v>44499.0</v>
      </c>
      <c r="AF90" s="120">
        <v>44500.0</v>
      </c>
    </row>
    <row r="91">
      <c r="A91" s="121" t="s">
        <v>93</v>
      </c>
      <c r="B91" s="122">
        <v>0.0</v>
      </c>
      <c r="C91" s="122">
        <v>0.0</v>
      </c>
      <c r="D91" s="122">
        <v>0.0</v>
      </c>
      <c r="E91" s="122">
        <v>1.0</v>
      </c>
      <c r="F91" s="122">
        <v>0.0</v>
      </c>
      <c r="G91" s="122">
        <v>0.0</v>
      </c>
      <c r="H91" s="122">
        <v>0.0</v>
      </c>
      <c r="I91" s="122">
        <v>0.0</v>
      </c>
      <c r="J91" s="122">
        <v>2.0</v>
      </c>
      <c r="K91" s="122">
        <v>0.0</v>
      </c>
      <c r="L91" s="122">
        <v>0.0</v>
      </c>
      <c r="M91" s="122">
        <v>1.0</v>
      </c>
      <c r="N91" s="122">
        <v>3.0</v>
      </c>
      <c r="O91" s="122">
        <v>2.0</v>
      </c>
      <c r="P91" s="122">
        <v>1.0</v>
      </c>
      <c r="Q91" s="122">
        <v>3.0</v>
      </c>
      <c r="R91" s="122">
        <v>0.0</v>
      </c>
      <c r="S91" s="122">
        <v>0.0</v>
      </c>
      <c r="T91" s="122">
        <v>1.0</v>
      </c>
      <c r="U91" s="122">
        <v>0.0</v>
      </c>
      <c r="V91" s="122">
        <v>0.0</v>
      </c>
      <c r="W91" s="122">
        <v>0.0</v>
      </c>
      <c r="X91" s="122">
        <v>1.0</v>
      </c>
      <c r="Y91" s="122">
        <v>0.0</v>
      </c>
      <c r="Z91" s="122">
        <v>0.0</v>
      </c>
      <c r="AA91" s="122">
        <v>0.0</v>
      </c>
      <c r="AB91" s="122">
        <v>3.0</v>
      </c>
      <c r="AC91" s="122">
        <v>1.0</v>
      </c>
      <c r="AD91" s="122">
        <v>0.0</v>
      </c>
      <c r="AE91" s="122">
        <v>0.0</v>
      </c>
      <c r="AF91" s="122">
        <v>0.0</v>
      </c>
    </row>
    <row r="92">
      <c r="A92" s="121" t="s">
        <v>94</v>
      </c>
      <c r="B92" s="123" t="str">
        <f t="shared" ref="B92:AF92" si="17">IFERROR(B93/B91,"-")</f>
        <v>-</v>
      </c>
      <c r="C92" s="123" t="str">
        <f t="shared" si="17"/>
        <v>-</v>
      </c>
      <c r="D92" s="123" t="str">
        <f t="shared" si="17"/>
        <v>-</v>
      </c>
      <c r="E92" s="123">
        <f t="shared" si="17"/>
        <v>3000</v>
      </c>
      <c r="F92" s="123" t="str">
        <f t="shared" si="17"/>
        <v>-</v>
      </c>
      <c r="G92" s="123" t="str">
        <f t="shared" si="17"/>
        <v>-</v>
      </c>
      <c r="H92" s="123" t="str">
        <f t="shared" si="17"/>
        <v>-</v>
      </c>
      <c r="I92" s="123" t="str">
        <f t="shared" si="17"/>
        <v>-</v>
      </c>
      <c r="J92" s="123">
        <f t="shared" si="17"/>
        <v>3749</v>
      </c>
      <c r="K92" s="123" t="str">
        <f t="shared" si="17"/>
        <v>-</v>
      </c>
      <c r="L92" s="123" t="str">
        <f t="shared" si="17"/>
        <v>-</v>
      </c>
      <c r="M92" s="123">
        <f t="shared" si="17"/>
        <v>6000</v>
      </c>
      <c r="N92" s="123">
        <f t="shared" si="17"/>
        <v>3000</v>
      </c>
      <c r="O92" s="123">
        <f t="shared" si="17"/>
        <v>3000</v>
      </c>
      <c r="P92" s="123">
        <f t="shared" si="17"/>
        <v>6000</v>
      </c>
      <c r="Q92" s="123">
        <f t="shared" si="17"/>
        <v>3000</v>
      </c>
      <c r="R92" s="123" t="str">
        <f t="shared" si="17"/>
        <v>-</v>
      </c>
      <c r="S92" s="123" t="str">
        <f t="shared" si="17"/>
        <v>-</v>
      </c>
      <c r="T92" s="123">
        <f t="shared" si="17"/>
        <v>3000</v>
      </c>
      <c r="U92" s="123" t="str">
        <f t="shared" si="17"/>
        <v>-</v>
      </c>
      <c r="V92" s="123" t="str">
        <f t="shared" si="17"/>
        <v>-</v>
      </c>
      <c r="W92" s="123" t="str">
        <f t="shared" si="17"/>
        <v>-</v>
      </c>
      <c r="X92" s="123">
        <f t="shared" si="17"/>
        <v>3000</v>
      </c>
      <c r="Y92" s="123" t="str">
        <f t="shared" si="17"/>
        <v>-</v>
      </c>
      <c r="Z92" s="123" t="str">
        <f t="shared" si="17"/>
        <v>-</v>
      </c>
      <c r="AA92" s="123" t="str">
        <f t="shared" si="17"/>
        <v>-</v>
      </c>
      <c r="AB92" s="123">
        <f t="shared" si="17"/>
        <v>3499.36</v>
      </c>
      <c r="AC92" s="123">
        <f t="shared" si="17"/>
        <v>3000</v>
      </c>
      <c r="AD92" s="123" t="str">
        <f t="shared" si="17"/>
        <v>-</v>
      </c>
      <c r="AE92" s="123" t="str">
        <f t="shared" si="17"/>
        <v>-</v>
      </c>
      <c r="AF92" s="123" t="str">
        <f t="shared" si="17"/>
        <v>-</v>
      </c>
    </row>
    <row r="93">
      <c r="A93" s="121" t="s">
        <v>99</v>
      </c>
      <c r="B93" s="122">
        <v>0.0</v>
      </c>
      <c r="C93" s="122">
        <v>0.0</v>
      </c>
      <c r="D93" s="122">
        <v>0.0</v>
      </c>
      <c r="E93" s="122">
        <v>3000.0</v>
      </c>
      <c r="F93" s="122">
        <v>0.0</v>
      </c>
      <c r="G93" s="122">
        <v>3000.0</v>
      </c>
      <c r="H93" s="122">
        <v>3000.0</v>
      </c>
      <c r="I93" s="122">
        <v>0.0</v>
      </c>
      <c r="J93" s="122">
        <v>7498.0</v>
      </c>
      <c r="K93" s="122">
        <v>0.0</v>
      </c>
      <c r="L93" s="122">
        <v>3000.0</v>
      </c>
      <c r="M93" s="122">
        <v>6000.0</v>
      </c>
      <c r="N93" s="122">
        <v>9000.0</v>
      </c>
      <c r="O93" s="122">
        <v>6000.0</v>
      </c>
      <c r="P93" s="122">
        <v>6000.0</v>
      </c>
      <c r="Q93" s="122">
        <v>9000.0</v>
      </c>
      <c r="R93" s="122">
        <v>0.0</v>
      </c>
      <c r="S93" s="122">
        <v>3000.0</v>
      </c>
      <c r="T93" s="122">
        <v>3000.0</v>
      </c>
      <c r="U93" s="122">
        <v>3000.0</v>
      </c>
      <c r="V93" s="122">
        <v>3000.0</v>
      </c>
      <c r="W93" s="122">
        <v>0.0</v>
      </c>
      <c r="X93" s="122">
        <v>3000.0</v>
      </c>
      <c r="Y93" s="122">
        <v>3000.0</v>
      </c>
      <c r="Z93" s="122">
        <v>0.0</v>
      </c>
      <c r="AA93" s="122">
        <v>0.0</v>
      </c>
      <c r="AB93" s="122">
        <v>10498.08</v>
      </c>
      <c r="AC93" s="122">
        <v>3000.0</v>
      </c>
      <c r="AD93" s="122">
        <v>0.0</v>
      </c>
      <c r="AE93" s="122">
        <v>0.0</v>
      </c>
      <c r="AF93" s="122">
        <v>0.0</v>
      </c>
    </row>
    <row r="94">
      <c r="A94" s="35"/>
      <c r="B94" s="53"/>
      <c r="C94" s="53"/>
      <c r="D94" s="53"/>
      <c r="E94" s="53"/>
      <c r="F94" s="55"/>
      <c r="G94" s="55"/>
      <c r="H94" s="54"/>
      <c r="I94" s="54"/>
      <c r="J94" s="54"/>
      <c r="K94" s="54"/>
      <c r="L94" s="54"/>
    </row>
    <row r="95">
      <c r="A95" s="26" t="s">
        <v>100</v>
      </c>
      <c r="B95" s="27" t="s">
        <v>1</v>
      </c>
      <c r="C95" s="28" t="s">
        <v>2</v>
      </c>
      <c r="D95" s="28" t="s">
        <v>3</v>
      </c>
      <c r="E95" s="28" t="s">
        <v>4</v>
      </c>
      <c r="F95" s="29" t="s">
        <v>5</v>
      </c>
      <c r="G95" s="29" t="s">
        <v>6</v>
      </c>
      <c r="H95" s="29" t="s">
        <v>105</v>
      </c>
      <c r="I95" s="28" t="s">
        <v>8</v>
      </c>
      <c r="J95" s="29" t="s">
        <v>10</v>
      </c>
      <c r="K95" s="16"/>
      <c r="L95" s="51"/>
    </row>
    <row r="96">
      <c r="A96" s="112" t="s">
        <v>93</v>
      </c>
      <c r="B96" s="113">
        <v>127.0</v>
      </c>
      <c r="C96" s="78">
        <f>SUM(B100:AF100)</f>
        <v>114</v>
      </c>
      <c r="D96" s="93">
        <f>C96/B96</f>
        <v>0.8976377953</v>
      </c>
      <c r="E96" s="91">
        <f>B96-C96</f>
        <v>13</v>
      </c>
      <c r="F96" s="78"/>
      <c r="G96" s="124"/>
      <c r="H96" s="78"/>
      <c r="I96" s="114"/>
      <c r="J96" s="115">
        <f>C96/31</f>
        <v>3.677419355</v>
      </c>
      <c r="K96" s="79"/>
      <c r="L96" s="79"/>
    </row>
    <row r="97">
      <c r="A97" s="112" t="s">
        <v>94</v>
      </c>
      <c r="B97" s="78">
        <f>B98/B96</f>
        <v>3800</v>
      </c>
      <c r="C97" s="132">
        <f>IFERROR(C98/C96,"-")</f>
        <v>3384.06614</v>
      </c>
      <c r="D97" s="93"/>
      <c r="E97" s="79"/>
      <c r="F97" s="78"/>
      <c r="G97" s="93"/>
      <c r="H97" s="79"/>
      <c r="I97" s="78"/>
      <c r="J97" s="116"/>
      <c r="K97" s="79"/>
      <c r="L97" s="79"/>
    </row>
    <row r="98">
      <c r="A98" s="112" t="s">
        <v>95</v>
      </c>
      <c r="B98" s="113">
        <v>482600.0</v>
      </c>
      <c r="C98" s="78">
        <f>SUM(B102:AF102)-7614</f>
        <v>385783.54</v>
      </c>
      <c r="D98" s="93">
        <f>C98/B98</f>
        <v>0.7993857024</v>
      </c>
      <c r="E98" s="78">
        <f>B98-C98</f>
        <v>96816.46</v>
      </c>
      <c r="F98" s="78"/>
      <c r="G98" s="124"/>
      <c r="H98" s="78"/>
      <c r="I98" s="78"/>
      <c r="J98" s="91">
        <f>C98/31</f>
        <v>12444.63032</v>
      </c>
      <c r="K98" s="79"/>
      <c r="L98" s="79"/>
    </row>
    <row r="99">
      <c r="A99" s="119" t="s">
        <v>101</v>
      </c>
      <c r="B99" s="120">
        <v>44470.0</v>
      </c>
      <c r="C99" s="120">
        <v>44471.0</v>
      </c>
      <c r="D99" s="120">
        <v>44472.0</v>
      </c>
      <c r="E99" s="120">
        <v>44473.0</v>
      </c>
      <c r="F99" s="120">
        <v>44474.0</v>
      </c>
      <c r="G99" s="120">
        <v>44475.0</v>
      </c>
      <c r="H99" s="120">
        <v>44476.0</v>
      </c>
      <c r="I99" s="120">
        <v>44477.0</v>
      </c>
      <c r="J99" s="120">
        <v>44478.0</v>
      </c>
      <c r="K99" s="120">
        <v>44479.0</v>
      </c>
      <c r="L99" s="120">
        <v>44480.0</v>
      </c>
      <c r="M99" s="120">
        <v>44481.0</v>
      </c>
      <c r="N99" s="120">
        <v>44482.0</v>
      </c>
      <c r="O99" s="120">
        <v>44483.0</v>
      </c>
      <c r="P99" s="120">
        <v>44484.0</v>
      </c>
      <c r="Q99" s="120">
        <v>44485.0</v>
      </c>
      <c r="R99" s="120">
        <v>44486.0</v>
      </c>
      <c r="S99" s="120">
        <v>44487.0</v>
      </c>
      <c r="T99" s="120">
        <v>44488.0</v>
      </c>
      <c r="U99" s="120">
        <v>44489.0</v>
      </c>
      <c r="V99" s="120">
        <v>44490.0</v>
      </c>
      <c r="W99" s="120">
        <v>44491.0</v>
      </c>
      <c r="X99" s="120">
        <v>44492.0</v>
      </c>
      <c r="Y99" s="120">
        <v>44493.0</v>
      </c>
      <c r="Z99" s="120">
        <v>44494.0</v>
      </c>
      <c r="AA99" s="120">
        <v>44495.0</v>
      </c>
      <c r="AB99" s="120">
        <v>44496.0</v>
      </c>
      <c r="AC99" s="120">
        <v>44497.0</v>
      </c>
      <c r="AD99" s="120">
        <v>44498.0</v>
      </c>
      <c r="AE99" s="120">
        <v>44499.0</v>
      </c>
      <c r="AF99" s="120">
        <v>44500.0</v>
      </c>
    </row>
    <row r="100">
      <c r="A100" s="121" t="s">
        <v>93</v>
      </c>
      <c r="B100" s="122">
        <v>6.0</v>
      </c>
      <c r="C100" s="122">
        <v>4.0</v>
      </c>
      <c r="D100" s="122">
        <v>0.0</v>
      </c>
      <c r="E100" s="122">
        <v>1.0</v>
      </c>
      <c r="F100" s="122">
        <v>3.0</v>
      </c>
      <c r="G100" s="122">
        <v>1.0</v>
      </c>
      <c r="H100" s="122">
        <v>2.0</v>
      </c>
      <c r="I100" s="122">
        <v>7.0</v>
      </c>
      <c r="J100" s="122">
        <v>2.0</v>
      </c>
      <c r="K100" s="122">
        <v>2.0</v>
      </c>
      <c r="L100" s="122">
        <v>3.0</v>
      </c>
      <c r="M100" s="122">
        <v>3.0</v>
      </c>
      <c r="N100" s="122">
        <v>3.0</v>
      </c>
      <c r="O100" s="122">
        <v>8.0</v>
      </c>
      <c r="P100" s="122">
        <v>3.0</v>
      </c>
      <c r="Q100" s="122">
        <v>9.0</v>
      </c>
      <c r="R100" s="122">
        <v>2.0</v>
      </c>
      <c r="S100" s="122">
        <v>5.0</v>
      </c>
      <c r="T100" s="122">
        <v>2.0</v>
      </c>
      <c r="U100" s="122">
        <v>4.0</v>
      </c>
      <c r="V100" s="122">
        <v>4.0</v>
      </c>
      <c r="W100" s="122">
        <v>3.0</v>
      </c>
      <c r="X100" s="122">
        <v>2.0</v>
      </c>
      <c r="Y100" s="122">
        <v>4.0</v>
      </c>
      <c r="Z100" s="122">
        <v>6.0</v>
      </c>
      <c r="AA100" s="122">
        <v>4.0</v>
      </c>
      <c r="AB100" s="122">
        <v>7.0</v>
      </c>
      <c r="AC100" s="122">
        <v>3.0</v>
      </c>
      <c r="AD100" s="122">
        <v>3.0</v>
      </c>
      <c r="AE100" s="122">
        <v>2.0</v>
      </c>
      <c r="AF100" s="122">
        <v>6.0</v>
      </c>
    </row>
    <row r="101">
      <c r="A101" s="121" t="s">
        <v>94</v>
      </c>
      <c r="B101" s="123">
        <f t="shared" ref="B101:AF101" si="18">IFERROR(B102/B100,"-")</f>
        <v>2424.198333</v>
      </c>
      <c r="C101" s="123">
        <f t="shared" si="18"/>
        <v>4709.4875</v>
      </c>
      <c r="D101" s="123" t="str">
        <f t="shared" si="18"/>
        <v>-</v>
      </c>
      <c r="E101" s="123">
        <f t="shared" si="18"/>
        <v>18931.98</v>
      </c>
      <c r="F101" s="123">
        <f t="shared" si="18"/>
        <v>3560.653333</v>
      </c>
      <c r="G101" s="123">
        <f t="shared" si="18"/>
        <v>10008.41</v>
      </c>
      <c r="H101" s="123">
        <f t="shared" si="18"/>
        <v>5752.82</v>
      </c>
      <c r="I101" s="123">
        <f t="shared" si="18"/>
        <v>1314.875714</v>
      </c>
      <c r="J101" s="123">
        <f t="shared" si="18"/>
        <v>5521.305</v>
      </c>
      <c r="K101" s="123">
        <f t="shared" si="18"/>
        <v>5143.4</v>
      </c>
      <c r="L101" s="123">
        <f t="shared" si="18"/>
        <v>3189.74</v>
      </c>
      <c r="M101" s="123">
        <f t="shared" si="18"/>
        <v>4290.856667</v>
      </c>
      <c r="N101" s="123">
        <f t="shared" si="18"/>
        <v>6046.53</v>
      </c>
      <c r="O101" s="123">
        <f t="shared" si="18"/>
        <v>1732.23875</v>
      </c>
      <c r="P101" s="123">
        <f t="shared" si="18"/>
        <v>3625.2</v>
      </c>
      <c r="Q101" s="123">
        <f t="shared" si="18"/>
        <v>1449.147778</v>
      </c>
      <c r="R101" s="123">
        <f t="shared" si="18"/>
        <v>5040.18</v>
      </c>
      <c r="S101" s="123">
        <f t="shared" si="18"/>
        <v>2715.196</v>
      </c>
      <c r="T101" s="123">
        <f t="shared" si="18"/>
        <v>7968.8</v>
      </c>
      <c r="U101" s="123">
        <f t="shared" si="18"/>
        <v>3382.88</v>
      </c>
      <c r="V101" s="123">
        <f t="shared" si="18"/>
        <v>2770.21</v>
      </c>
      <c r="W101" s="123">
        <f t="shared" si="18"/>
        <v>4646.433333</v>
      </c>
      <c r="X101" s="123">
        <f t="shared" si="18"/>
        <v>6112.315</v>
      </c>
      <c r="Y101" s="123">
        <f t="shared" si="18"/>
        <v>3318.075</v>
      </c>
      <c r="Z101" s="123">
        <f t="shared" si="18"/>
        <v>2709.318333</v>
      </c>
      <c r="AA101" s="123">
        <f t="shared" si="18"/>
        <v>2698.3225</v>
      </c>
      <c r="AB101" s="123">
        <f t="shared" si="18"/>
        <v>1784.59</v>
      </c>
      <c r="AC101" s="123">
        <f t="shared" si="18"/>
        <v>3205.396667</v>
      </c>
      <c r="AD101" s="123">
        <f t="shared" si="18"/>
        <v>3596.493333</v>
      </c>
      <c r="AE101" s="123">
        <f t="shared" si="18"/>
        <v>5902.89</v>
      </c>
      <c r="AF101" s="123">
        <f t="shared" si="18"/>
        <v>2273.68</v>
      </c>
    </row>
    <row r="102">
      <c r="A102" s="121" t="s">
        <v>99</v>
      </c>
      <c r="B102" s="122">
        <v>14545.19</v>
      </c>
      <c r="C102" s="122">
        <v>18837.95</v>
      </c>
      <c r="D102" s="122">
        <v>10958.26</v>
      </c>
      <c r="E102" s="122">
        <v>18931.98</v>
      </c>
      <c r="F102" s="122">
        <v>10681.96</v>
      </c>
      <c r="G102" s="122">
        <v>10008.41</v>
      </c>
      <c r="H102" s="122">
        <v>11505.64</v>
      </c>
      <c r="I102" s="122">
        <v>9204.13</v>
      </c>
      <c r="J102" s="122">
        <v>11042.61</v>
      </c>
      <c r="K102" s="122">
        <v>10286.8</v>
      </c>
      <c r="L102" s="122">
        <v>9569.22</v>
      </c>
      <c r="M102" s="122">
        <v>12872.57</v>
      </c>
      <c r="N102" s="122">
        <v>18139.59</v>
      </c>
      <c r="O102" s="122">
        <v>13857.91</v>
      </c>
      <c r="P102" s="122">
        <v>10875.6</v>
      </c>
      <c r="Q102" s="122">
        <v>13042.33</v>
      </c>
      <c r="R102" s="122">
        <v>10080.36</v>
      </c>
      <c r="S102" s="122">
        <v>13575.98</v>
      </c>
      <c r="T102" s="122">
        <v>15937.6</v>
      </c>
      <c r="U102" s="122">
        <v>13531.52</v>
      </c>
      <c r="V102" s="122">
        <v>11080.84</v>
      </c>
      <c r="W102" s="122">
        <v>13939.3</v>
      </c>
      <c r="X102" s="122">
        <v>12224.63</v>
      </c>
      <c r="Y102" s="122">
        <v>13272.3</v>
      </c>
      <c r="Z102" s="122">
        <v>16255.91</v>
      </c>
      <c r="AA102" s="122">
        <v>10793.29</v>
      </c>
      <c r="AB102" s="122">
        <v>12492.13</v>
      </c>
      <c r="AC102" s="122">
        <v>9616.19</v>
      </c>
      <c r="AD102" s="122">
        <v>10789.48</v>
      </c>
      <c r="AE102" s="122">
        <v>11805.78</v>
      </c>
      <c r="AF102" s="122">
        <v>13642.08</v>
      </c>
    </row>
    <row r="103">
      <c r="A103" s="105"/>
      <c r="B103" s="9"/>
      <c r="C103" s="8"/>
      <c r="D103" s="8"/>
      <c r="E103" s="9"/>
      <c r="F103" s="9"/>
      <c r="G103" s="10"/>
      <c r="H103" s="9"/>
      <c r="I103" s="106"/>
      <c r="J103" s="46"/>
      <c r="K103" s="107"/>
      <c r="M103" s="91"/>
      <c r="N103" s="108"/>
    </row>
    <row r="104">
      <c r="A104" s="105"/>
      <c r="B104" s="9"/>
      <c r="C104" s="9"/>
      <c r="D104" s="10"/>
      <c r="E104" s="9"/>
      <c r="F104" s="9"/>
      <c r="G104" s="10"/>
      <c r="H104" s="9"/>
      <c r="I104" s="106"/>
      <c r="J104" s="46"/>
      <c r="K104" s="107"/>
      <c r="M104" s="91"/>
      <c r="N104" s="108"/>
    </row>
    <row r="105">
      <c r="A105" s="105"/>
      <c r="B105" s="9"/>
      <c r="C105" s="9"/>
      <c r="D105" s="10"/>
      <c r="E105" s="9"/>
      <c r="F105" s="9"/>
      <c r="G105" s="10"/>
      <c r="H105" s="9"/>
      <c r="I105" s="106"/>
      <c r="J105" s="46"/>
      <c r="K105" s="107"/>
      <c r="M105" s="91"/>
      <c r="N105" s="108"/>
    </row>
    <row r="106">
      <c r="A106" s="100" t="s">
        <v>104</v>
      </c>
      <c r="B106" s="101" t="s">
        <v>1</v>
      </c>
      <c r="C106" s="102" t="s">
        <v>2</v>
      </c>
      <c r="D106" s="127" t="s">
        <v>3</v>
      </c>
      <c r="E106" s="102" t="s">
        <v>4</v>
      </c>
      <c r="F106" s="103" t="s">
        <v>5</v>
      </c>
      <c r="G106" s="103" t="s">
        <v>6</v>
      </c>
      <c r="H106" s="103" t="s">
        <v>105</v>
      </c>
      <c r="I106" s="104" t="s">
        <v>8</v>
      </c>
      <c r="J106" s="103" t="s">
        <v>10</v>
      </c>
      <c r="K106" s="107"/>
      <c r="M106" s="91"/>
      <c r="N106" s="108"/>
    </row>
    <row r="107">
      <c r="A107" s="105" t="s">
        <v>93</v>
      </c>
      <c r="B107" s="9">
        <f t="shared" ref="B107:C107" si="19">B113+B122+B131</f>
        <v>235</v>
      </c>
      <c r="C107" s="9">
        <f t="shared" si="19"/>
        <v>245</v>
      </c>
      <c r="D107" s="10">
        <f>C107/B107</f>
        <v>1.042553191</v>
      </c>
      <c r="E107" s="9">
        <f>B107-C107</f>
        <v>-10</v>
      </c>
      <c r="F107" s="9"/>
      <c r="G107" s="10"/>
      <c r="H107" s="9"/>
      <c r="I107" s="106"/>
      <c r="J107" s="46">
        <f>C107/30</f>
        <v>8.166666667</v>
      </c>
      <c r="K107" s="107"/>
      <c r="M107" s="91"/>
      <c r="N107" s="108"/>
    </row>
    <row r="108">
      <c r="A108" s="105" t="s">
        <v>94</v>
      </c>
      <c r="B108" s="8">
        <f t="shared" ref="B108:C108" si="20">B109/B107</f>
        <v>3742.553191</v>
      </c>
      <c r="C108" s="9">
        <f t="shared" si="20"/>
        <v>3431.852694</v>
      </c>
      <c r="D108" s="10"/>
      <c r="E108" s="109"/>
      <c r="F108" s="9"/>
      <c r="G108" s="10"/>
      <c r="H108" s="109"/>
      <c r="I108" s="109"/>
      <c r="J108" s="107"/>
      <c r="K108" s="107"/>
      <c r="M108" s="91"/>
      <c r="N108" s="108"/>
    </row>
    <row r="109">
      <c r="A109" s="105" t="s">
        <v>95</v>
      </c>
      <c r="B109" s="9">
        <f t="shared" ref="B109:C109" si="21">B115+B124+B133</f>
        <v>879500</v>
      </c>
      <c r="C109" s="9">
        <f t="shared" si="21"/>
        <v>840803.91</v>
      </c>
      <c r="D109" s="10">
        <f>C109/B109</f>
        <v>0.9560021717</v>
      </c>
      <c r="E109" s="9">
        <f>B109-C109</f>
        <v>38696.09</v>
      </c>
      <c r="F109" s="9"/>
      <c r="G109" s="10"/>
      <c r="H109" s="9"/>
      <c r="I109" s="19"/>
      <c r="J109" s="19">
        <f>C109/30</f>
        <v>28026.797</v>
      </c>
      <c r="K109" s="107"/>
    </row>
    <row r="111">
      <c r="A111" s="110" t="s">
        <v>96</v>
      </c>
      <c r="B111" s="22"/>
      <c r="C111" s="131"/>
      <c r="D111" s="23"/>
      <c r="E111" s="23"/>
      <c r="F111" s="23"/>
      <c r="G111" s="23"/>
      <c r="H111" s="23"/>
      <c r="I111" s="23"/>
      <c r="J111" s="23"/>
      <c r="K111" s="24"/>
      <c r="L111" s="24"/>
    </row>
    <row r="112">
      <c r="A112" s="26" t="s">
        <v>97</v>
      </c>
      <c r="B112" s="27" t="s">
        <v>1</v>
      </c>
      <c r="C112" s="28" t="s">
        <v>2</v>
      </c>
      <c r="D112" s="28" t="s">
        <v>3</v>
      </c>
      <c r="E112" s="28" t="s">
        <v>4</v>
      </c>
      <c r="F112" s="29" t="s">
        <v>5</v>
      </c>
      <c r="G112" s="29" t="s">
        <v>6</v>
      </c>
      <c r="H112" s="29" t="s">
        <v>105</v>
      </c>
      <c r="I112" s="28" t="s">
        <v>8</v>
      </c>
      <c r="J112" s="29" t="s">
        <v>10</v>
      </c>
      <c r="K112" s="16"/>
      <c r="L112" s="111"/>
    </row>
    <row r="113">
      <c r="A113" s="112" t="s">
        <v>93</v>
      </c>
      <c r="B113" s="113">
        <v>105.0</v>
      </c>
      <c r="C113" s="78">
        <f>SUM(B117:AE117)</f>
        <v>107</v>
      </c>
      <c r="D113" s="93">
        <f>C113/B113</f>
        <v>1.019047619</v>
      </c>
      <c r="E113" s="91">
        <f>B113-C113</f>
        <v>-2</v>
      </c>
      <c r="F113" s="78"/>
      <c r="G113" s="93"/>
      <c r="H113" s="78"/>
      <c r="I113" s="114"/>
      <c r="J113" s="115">
        <f>C113/30</f>
        <v>3.566666667</v>
      </c>
      <c r="K113" s="116"/>
      <c r="L113" s="13"/>
    </row>
    <row r="114">
      <c r="A114" s="112" t="s">
        <v>94</v>
      </c>
      <c r="B114" s="78">
        <f t="shared" ref="B114:C114" si="22">B115/B113</f>
        <v>3700</v>
      </c>
      <c r="C114" s="78">
        <f t="shared" si="22"/>
        <v>3862.99972</v>
      </c>
      <c r="D114" s="93"/>
      <c r="E114" s="79"/>
      <c r="F114" s="78"/>
      <c r="G114" s="93"/>
      <c r="H114" s="116"/>
      <c r="I114" s="117"/>
      <c r="J114" s="116"/>
      <c r="K114" s="116"/>
      <c r="L114" s="13"/>
    </row>
    <row r="115">
      <c r="A115" s="112" t="s">
        <v>95</v>
      </c>
      <c r="B115" s="113">
        <v>388500.0</v>
      </c>
      <c r="C115" s="78">
        <f>SUM(B119:AE119)-94.97</f>
        <v>413340.97</v>
      </c>
      <c r="D115" s="93">
        <f>C115/B115</f>
        <v>1.063940721</v>
      </c>
      <c r="E115" s="78">
        <f>B115-C115</f>
        <v>-24840.97</v>
      </c>
      <c r="F115" s="78"/>
      <c r="G115" s="93"/>
      <c r="H115" s="78"/>
      <c r="I115" s="78"/>
      <c r="J115" s="91">
        <f>C115/30</f>
        <v>13778.03233</v>
      </c>
      <c r="K115" s="118"/>
      <c r="L115" s="13"/>
    </row>
    <row r="116">
      <c r="A116" s="119" t="s">
        <v>98</v>
      </c>
      <c r="B116" s="128">
        <v>44440.0</v>
      </c>
      <c r="C116" s="128">
        <v>44441.0</v>
      </c>
      <c r="D116" s="128">
        <v>44442.0</v>
      </c>
      <c r="E116" s="128">
        <v>44443.0</v>
      </c>
      <c r="F116" s="128">
        <v>44444.0</v>
      </c>
      <c r="G116" s="128">
        <v>44445.0</v>
      </c>
      <c r="H116" s="128">
        <v>44446.0</v>
      </c>
      <c r="I116" s="128">
        <v>44447.0</v>
      </c>
      <c r="J116" s="128">
        <v>44448.0</v>
      </c>
      <c r="K116" s="128">
        <v>44449.0</v>
      </c>
      <c r="L116" s="128">
        <v>44450.0</v>
      </c>
      <c r="M116" s="128">
        <v>44451.0</v>
      </c>
      <c r="N116" s="128">
        <v>44452.0</v>
      </c>
      <c r="O116" s="128">
        <v>44453.0</v>
      </c>
      <c r="P116" s="128">
        <v>44454.0</v>
      </c>
      <c r="Q116" s="128">
        <v>44455.0</v>
      </c>
      <c r="R116" s="128">
        <v>44456.0</v>
      </c>
      <c r="S116" s="128">
        <v>44457.0</v>
      </c>
      <c r="T116" s="128">
        <v>44458.0</v>
      </c>
      <c r="U116" s="128">
        <v>44459.0</v>
      </c>
      <c r="V116" s="128">
        <v>44460.0</v>
      </c>
      <c r="W116" s="128">
        <v>44461.0</v>
      </c>
      <c r="X116" s="128">
        <v>44462.0</v>
      </c>
      <c r="Y116" s="128">
        <v>44463.0</v>
      </c>
      <c r="Z116" s="128">
        <v>44464.0</v>
      </c>
      <c r="AA116" s="128">
        <v>44465.0</v>
      </c>
      <c r="AB116" s="128">
        <v>44466.0</v>
      </c>
      <c r="AC116" s="128">
        <v>44467.0</v>
      </c>
      <c r="AD116" s="128">
        <v>44468.0</v>
      </c>
      <c r="AE116" s="128">
        <v>44469.0</v>
      </c>
      <c r="AF116" s="128"/>
    </row>
    <row r="117">
      <c r="A117" s="121" t="s">
        <v>93</v>
      </c>
      <c r="B117" s="122">
        <v>4.0</v>
      </c>
      <c r="C117" s="122">
        <v>2.0</v>
      </c>
      <c r="D117" s="122">
        <v>1.0</v>
      </c>
      <c r="E117" s="122">
        <v>6.0</v>
      </c>
      <c r="F117" s="122">
        <v>2.0</v>
      </c>
      <c r="G117" s="122">
        <v>3.0</v>
      </c>
      <c r="H117" s="122">
        <v>5.0</v>
      </c>
      <c r="I117" s="122">
        <v>1.0</v>
      </c>
      <c r="J117" s="122">
        <v>7.0</v>
      </c>
      <c r="K117" s="122">
        <v>8.0</v>
      </c>
      <c r="L117" s="122">
        <v>1.0</v>
      </c>
      <c r="M117" s="122">
        <v>4.0</v>
      </c>
      <c r="N117" s="122">
        <v>3.0</v>
      </c>
      <c r="O117" s="122">
        <v>6.0</v>
      </c>
      <c r="P117" s="122">
        <v>2.0</v>
      </c>
      <c r="Q117" s="122">
        <v>6.0</v>
      </c>
      <c r="R117" s="122">
        <v>1.0</v>
      </c>
      <c r="S117" s="122">
        <v>1.0</v>
      </c>
      <c r="T117" s="122">
        <v>0.0</v>
      </c>
      <c r="U117" s="122">
        <v>3.0</v>
      </c>
      <c r="V117" s="122">
        <v>3.0</v>
      </c>
      <c r="W117" s="122">
        <v>3.0</v>
      </c>
      <c r="X117" s="122">
        <v>5.0</v>
      </c>
      <c r="Y117" s="122">
        <v>6.0</v>
      </c>
      <c r="Z117" s="122">
        <v>4.0</v>
      </c>
      <c r="AA117" s="122">
        <v>1.0</v>
      </c>
      <c r="AB117" s="122">
        <v>2.0</v>
      </c>
      <c r="AC117" s="122">
        <v>7.0</v>
      </c>
      <c r="AD117" s="122">
        <v>6.0</v>
      </c>
      <c r="AE117" s="122">
        <v>4.0</v>
      </c>
      <c r="AF117" s="122"/>
    </row>
    <row r="118">
      <c r="A118" s="121" t="s">
        <v>94</v>
      </c>
      <c r="B118" s="123">
        <f t="shared" ref="B118:AE118" si="23">IFERROR(B119/B117,"-")</f>
        <v>3878.3925</v>
      </c>
      <c r="C118" s="123">
        <f t="shared" si="23"/>
        <v>7703.335</v>
      </c>
      <c r="D118" s="123">
        <f t="shared" si="23"/>
        <v>12867.52</v>
      </c>
      <c r="E118" s="123">
        <f t="shared" si="23"/>
        <v>2178.055</v>
      </c>
      <c r="F118" s="123">
        <f t="shared" si="23"/>
        <v>6526.615</v>
      </c>
      <c r="G118" s="123">
        <f t="shared" si="23"/>
        <v>4961.85</v>
      </c>
      <c r="H118" s="123">
        <f t="shared" si="23"/>
        <v>2537.19</v>
      </c>
      <c r="I118" s="123">
        <f t="shared" si="23"/>
        <v>14884</v>
      </c>
      <c r="J118" s="123">
        <f t="shared" si="23"/>
        <v>2263.898571</v>
      </c>
      <c r="K118" s="123">
        <f t="shared" si="23"/>
        <v>1648.40125</v>
      </c>
      <c r="L118" s="123">
        <f t="shared" si="23"/>
        <v>9077.05</v>
      </c>
      <c r="M118" s="123">
        <f t="shared" si="23"/>
        <v>2002.0225</v>
      </c>
      <c r="N118" s="123">
        <f t="shared" si="23"/>
        <v>5092.126667</v>
      </c>
      <c r="O118" s="123">
        <f t="shared" si="23"/>
        <v>2361.295</v>
      </c>
      <c r="P118" s="123">
        <f t="shared" si="23"/>
        <v>6952.92</v>
      </c>
      <c r="Q118" s="123">
        <f t="shared" si="23"/>
        <v>2223.606667</v>
      </c>
      <c r="R118" s="123">
        <f t="shared" si="23"/>
        <v>11862.5</v>
      </c>
      <c r="S118" s="123">
        <f t="shared" si="23"/>
        <v>8404.8</v>
      </c>
      <c r="T118" s="123" t="str">
        <f t="shared" si="23"/>
        <v>-</v>
      </c>
      <c r="U118" s="123">
        <f t="shared" si="23"/>
        <v>4618.643333</v>
      </c>
      <c r="V118" s="123">
        <f t="shared" si="23"/>
        <v>4630.003333</v>
      </c>
      <c r="W118" s="123">
        <f t="shared" si="23"/>
        <v>4350.38</v>
      </c>
      <c r="X118" s="123">
        <f t="shared" si="23"/>
        <v>2616.312</v>
      </c>
      <c r="Y118" s="123">
        <f t="shared" si="23"/>
        <v>2660.958333</v>
      </c>
      <c r="Z118" s="123">
        <f t="shared" si="23"/>
        <v>4332.33</v>
      </c>
      <c r="AA118" s="123">
        <f t="shared" si="23"/>
        <v>15257.97</v>
      </c>
      <c r="AB118" s="123">
        <f t="shared" si="23"/>
        <v>7140.615</v>
      </c>
      <c r="AC118" s="123">
        <f t="shared" si="23"/>
        <v>2288.258571</v>
      </c>
      <c r="AD118" s="123">
        <f t="shared" si="23"/>
        <v>3049.621667</v>
      </c>
      <c r="AE118" s="123">
        <f t="shared" si="23"/>
        <v>4989.13</v>
      </c>
      <c r="AF118" s="123"/>
    </row>
    <row r="119">
      <c r="A119" s="121" t="s">
        <v>99</v>
      </c>
      <c r="B119" s="123">
        <f>13476.86+2036.71</f>
        <v>15513.57</v>
      </c>
      <c r="C119" s="123">
        <f>14700.75+705.92</f>
        <v>15406.67</v>
      </c>
      <c r="D119" s="123">
        <v>12867.52</v>
      </c>
      <c r="E119" s="123">
        <v>13068.33</v>
      </c>
      <c r="F119" s="123">
        <v>13053.23</v>
      </c>
      <c r="G119" s="123">
        <v>14885.55</v>
      </c>
      <c r="H119" s="122">
        <v>12685.95</v>
      </c>
      <c r="I119" s="122">
        <v>14884.0</v>
      </c>
      <c r="J119" s="122">
        <v>15847.29</v>
      </c>
      <c r="K119" s="122">
        <v>13187.21</v>
      </c>
      <c r="L119" s="122">
        <v>9077.05</v>
      </c>
      <c r="M119" s="122">
        <v>8008.09</v>
      </c>
      <c r="N119" s="122">
        <v>15276.38</v>
      </c>
      <c r="O119" s="122">
        <v>14167.77</v>
      </c>
      <c r="P119" s="122">
        <v>13905.84</v>
      </c>
      <c r="Q119" s="122">
        <v>13341.64</v>
      </c>
      <c r="R119" s="122">
        <v>11862.5</v>
      </c>
      <c r="S119" s="122">
        <v>8404.8</v>
      </c>
      <c r="T119" s="122">
        <v>7007.58</v>
      </c>
      <c r="U119" s="122">
        <v>13855.93</v>
      </c>
      <c r="V119" s="122">
        <v>13890.01</v>
      </c>
      <c r="W119" s="122">
        <v>13051.14</v>
      </c>
      <c r="X119" s="122">
        <v>13081.56</v>
      </c>
      <c r="Y119" s="122">
        <v>15965.75</v>
      </c>
      <c r="Z119" s="122">
        <v>17329.32</v>
      </c>
      <c r="AA119" s="122">
        <v>15257.97</v>
      </c>
      <c r="AB119" s="122">
        <v>14281.23</v>
      </c>
      <c r="AC119" s="122">
        <v>16017.81</v>
      </c>
      <c r="AD119" s="122">
        <v>18297.73</v>
      </c>
      <c r="AE119" s="122">
        <v>19956.52</v>
      </c>
      <c r="AF119" s="122"/>
    </row>
    <row r="120">
      <c r="A120" s="51"/>
      <c r="B120" s="87"/>
      <c r="C120" s="85"/>
      <c r="D120" s="85"/>
      <c r="E120" s="85"/>
      <c r="F120" s="85"/>
      <c r="G120" s="85"/>
      <c r="H120" s="85"/>
      <c r="I120" s="85"/>
      <c r="J120" s="85"/>
      <c r="K120" s="51"/>
      <c r="L120" s="51"/>
    </row>
    <row r="121">
      <c r="A121" s="26" t="s">
        <v>106</v>
      </c>
      <c r="B121" s="27" t="s">
        <v>1</v>
      </c>
      <c r="C121" s="28" t="s">
        <v>2</v>
      </c>
      <c r="D121" s="28" t="s">
        <v>3</v>
      </c>
      <c r="E121" s="28" t="s">
        <v>4</v>
      </c>
      <c r="F121" s="29" t="s">
        <v>5</v>
      </c>
      <c r="G121" s="29" t="s">
        <v>6</v>
      </c>
      <c r="H121" s="29" t="s">
        <v>105</v>
      </c>
      <c r="I121" s="28" t="s">
        <v>8</v>
      </c>
      <c r="J121" s="29" t="s">
        <v>10</v>
      </c>
      <c r="K121" s="16"/>
      <c r="L121" s="51"/>
    </row>
    <row r="122">
      <c r="A122" s="112" t="s">
        <v>93</v>
      </c>
      <c r="B122" s="113">
        <v>10.0</v>
      </c>
      <c r="C122" s="78">
        <f>SUM(B126:AE126)</f>
        <v>4</v>
      </c>
      <c r="D122" s="93">
        <f>C122/B122</f>
        <v>0.4</v>
      </c>
      <c r="E122" s="91">
        <f>B122-C122</f>
        <v>6</v>
      </c>
      <c r="F122" s="78"/>
      <c r="G122" s="129"/>
      <c r="H122" s="78"/>
      <c r="I122" s="114"/>
      <c r="J122" s="115">
        <f>C122/30</f>
        <v>0.1333333333</v>
      </c>
      <c r="K122" s="13"/>
      <c r="L122" s="13"/>
    </row>
    <row r="123">
      <c r="A123" s="112" t="s">
        <v>94</v>
      </c>
      <c r="B123" s="78">
        <f>B124/B122</f>
        <v>3500</v>
      </c>
      <c r="C123" s="132">
        <f>IFERROR(C124/C122,"-")</f>
        <v>2408.9875</v>
      </c>
      <c r="D123" s="93"/>
      <c r="E123" s="84"/>
      <c r="F123" s="132"/>
      <c r="G123" s="134"/>
      <c r="H123" s="79"/>
      <c r="I123" s="78"/>
      <c r="J123" s="116"/>
      <c r="K123" s="13"/>
      <c r="L123" s="13"/>
    </row>
    <row r="124">
      <c r="A124" s="112" t="s">
        <v>95</v>
      </c>
      <c r="B124" s="113">
        <v>35000.0</v>
      </c>
      <c r="C124" s="78">
        <f>SUM(B128:AE128)</f>
        <v>9635.95</v>
      </c>
      <c r="D124" s="93">
        <f>C124/B124</f>
        <v>0.2753128571</v>
      </c>
      <c r="E124" s="78">
        <f>B124-C124</f>
        <v>25364.05</v>
      </c>
      <c r="F124" s="78"/>
      <c r="G124" s="129"/>
      <c r="H124" s="78"/>
      <c r="I124" s="78"/>
      <c r="J124" s="91">
        <f>C124/30</f>
        <v>321.1983333</v>
      </c>
      <c r="K124" s="87"/>
      <c r="L124" s="13"/>
    </row>
    <row r="125">
      <c r="A125" s="119" t="s">
        <v>108</v>
      </c>
      <c r="B125" s="128">
        <v>44440.0</v>
      </c>
      <c r="C125" s="128">
        <v>44441.0</v>
      </c>
      <c r="D125" s="128">
        <v>44442.0</v>
      </c>
      <c r="E125" s="128">
        <v>44443.0</v>
      </c>
      <c r="F125" s="128">
        <v>44444.0</v>
      </c>
      <c r="G125" s="128">
        <v>44445.0</v>
      </c>
      <c r="H125" s="128">
        <v>44446.0</v>
      </c>
      <c r="I125" s="128">
        <v>44447.0</v>
      </c>
      <c r="J125" s="128">
        <v>44448.0</v>
      </c>
      <c r="K125" s="128">
        <v>44449.0</v>
      </c>
      <c r="L125" s="128">
        <v>44450.0</v>
      </c>
      <c r="M125" s="128">
        <v>44451.0</v>
      </c>
      <c r="N125" s="128">
        <v>44452.0</v>
      </c>
      <c r="O125" s="128">
        <v>44453.0</v>
      </c>
      <c r="P125" s="128">
        <v>44454.0</v>
      </c>
      <c r="Q125" s="128">
        <v>44455.0</v>
      </c>
      <c r="R125" s="128">
        <v>44456.0</v>
      </c>
      <c r="S125" s="128">
        <v>44457.0</v>
      </c>
      <c r="T125" s="128">
        <v>44458.0</v>
      </c>
      <c r="U125" s="128">
        <v>44459.0</v>
      </c>
      <c r="V125" s="128">
        <v>44460.0</v>
      </c>
      <c r="W125" s="128">
        <v>44461.0</v>
      </c>
      <c r="X125" s="128">
        <v>44462.0</v>
      </c>
      <c r="Y125" s="128">
        <v>44463.0</v>
      </c>
      <c r="Z125" s="128">
        <v>44464.0</v>
      </c>
      <c r="AA125" s="128">
        <v>44465.0</v>
      </c>
      <c r="AB125" s="128">
        <v>44466.0</v>
      </c>
      <c r="AC125" s="128">
        <v>44467.0</v>
      </c>
      <c r="AD125" s="128">
        <v>44468.0</v>
      </c>
      <c r="AE125" s="128">
        <v>44469.0</v>
      </c>
      <c r="AF125" s="128"/>
    </row>
    <row r="126">
      <c r="A126" s="121" t="s">
        <v>93</v>
      </c>
      <c r="B126" s="122">
        <v>0.0</v>
      </c>
      <c r="C126" s="122">
        <v>0.0</v>
      </c>
      <c r="D126" s="122">
        <v>0.0</v>
      </c>
      <c r="E126" s="122">
        <v>0.0</v>
      </c>
      <c r="F126" s="122">
        <v>0.0</v>
      </c>
      <c r="G126" s="122">
        <v>0.0</v>
      </c>
      <c r="H126" s="122">
        <v>1.0</v>
      </c>
      <c r="I126" s="122">
        <v>0.0</v>
      </c>
      <c r="J126" s="122">
        <v>0.0</v>
      </c>
      <c r="K126" s="122">
        <v>0.0</v>
      </c>
      <c r="L126" s="122">
        <v>0.0</v>
      </c>
      <c r="M126" s="122">
        <v>0.0</v>
      </c>
      <c r="N126" s="122">
        <v>0.0</v>
      </c>
      <c r="O126" s="122">
        <v>0.0</v>
      </c>
      <c r="P126" s="122">
        <v>0.0</v>
      </c>
      <c r="Q126" s="122">
        <v>0.0</v>
      </c>
      <c r="R126" s="122">
        <v>0.0</v>
      </c>
      <c r="S126" s="122">
        <v>0.0</v>
      </c>
      <c r="T126" s="122">
        <v>0.0</v>
      </c>
      <c r="U126" s="122">
        <v>0.0</v>
      </c>
      <c r="V126" s="122">
        <v>0.0</v>
      </c>
      <c r="W126" s="122">
        <v>0.0</v>
      </c>
      <c r="X126" s="122">
        <v>0.0</v>
      </c>
      <c r="Y126" s="122">
        <v>0.0</v>
      </c>
      <c r="Z126" s="122">
        <v>0.0</v>
      </c>
      <c r="AA126" s="122">
        <v>1.0</v>
      </c>
      <c r="AB126" s="122">
        <v>1.0</v>
      </c>
      <c r="AC126" s="122">
        <v>0.0</v>
      </c>
      <c r="AD126" s="122">
        <v>0.0</v>
      </c>
      <c r="AE126" s="122">
        <v>1.0</v>
      </c>
      <c r="AF126" s="122"/>
    </row>
    <row r="127">
      <c r="A127" s="121" t="s">
        <v>94</v>
      </c>
      <c r="B127" s="123" t="str">
        <f t="shared" ref="B127:AE127" si="24">IFERROR(B128/B126,"-")</f>
        <v>-</v>
      </c>
      <c r="C127" s="123" t="str">
        <f t="shared" si="24"/>
        <v>-</v>
      </c>
      <c r="D127" s="123" t="str">
        <f t="shared" si="24"/>
        <v>-</v>
      </c>
      <c r="E127" s="123" t="str">
        <f t="shared" si="24"/>
        <v>-</v>
      </c>
      <c r="F127" s="123" t="str">
        <f t="shared" si="24"/>
        <v>-</v>
      </c>
      <c r="G127" s="123" t="str">
        <f t="shared" si="24"/>
        <v>-</v>
      </c>
      <c r="H127" s="123">
        <f t="shared" si="24"/>
        <v>3000</v>
      </c>
      <c r="I127" s="123" t="str">
        <f t="shared" si="24"/>
        <v>-</v>
      </c>
      <c r="J127" s="123" t="str">
        <f t="shared" si="24"/>
        <v>-</v>
      </c>
      <c r="K127" s="123" t="str">
        <f t="shared" si="24"/>
        <v>-</v>
      </c>
      <c r="L127" s="123" t="str">
        <f t="shared" si="24"/>
        <v>-</v>
      </c>
      <c r="M127" s="123" t="str">
        <f t="shared" si="24"/>
        <v>-</v>
      </c>
      <c r="N127" s="123" t="str">
        <f t="shared" si="24"/>
        <v>-</v>
      </c>
      <c r="O127" s="123" t="str">
        <f t="shared" si="24"/>
        <v>-</v>
      </c>
      <c r="P127" s="123" t="str">
        <f t="shared" si="24"/>
        <v>-</v>
      </c>
      <c r="Q127" s="123" t="str">
        <f t="shared" si="24"/>
        <v>-</v>
      </c>
      <c r="R127" s="123" t="str">
        <f t="shared" si="24"/>
        <v>-</v>
      </c>
      <c r="S127" s="123" t="str">
        <f t="shared" si="24"/>
        <v>-</v>
      </c>
      <c r="T127" s="123" t="str">
        <f t="shared" si="24"/>
        <v>-</v>
      </c>
      <c r="U127" s="123" t="str">
        <f t="shared" si="24"/>
        <v>-</v>
      </c>
      <c r="V127" s="123" t="str">
        <f t="shared" si="24"/>
        <v>-</v>
      </c>
      <c r="W127" s="123" t="str">
        <f t="shared" si="24"/>
        <v>-</v>
      </c>
      <c r="X127" s="123" t="str">
        <f t="shared" si="24"/>
        <v>-</v>
      </c>
      <c r="Y127" s="123" t="str">
        <f t="shared" si="24"/>
        <v>-</v>
      </c>
      <c r="Z127" s="123" t="str">
        <f t="shared" si="24"/>
        <v>-</v>
      </c>
      <c r="AA127" s="123">
        <f t="shared" si="24"/>
        <v>4498.08</v>
      </c>
      <c r="AB127" s="123">
        <f t="shared" si="24"/>
        <v>0</v>
      </c>
      <c r="AC127" s="123" t="str">
        <f t="shared" si="24"/>
        <v>-</v>
      </c>
      <c r="AD127" s="123" t="str">
        <f t="shared" si="24"/>
        <v>-</v>
      </c>
      <c r="AE127" s="123">
        <f t="shared" si="24"/>
        <v>0</v>
      </c>
      <c r="AF127" s="123"/>
    </row>
    <row r="128">
      <c r="A128" s="121" t="s">
        <v>99</v>
      </c>
      <c r="B128" s="122">
        <v>0.0</v>
      </c>
      <c r="C128" s="122">
        <v>0.0</v>
      </c>
      <c r="D128" s="122">
        <v>0.0</v>
      </c>
      <c r="E128" s="122">
        <v>0.0</v>
      </c>
      <c r="F128" s="122">
        <v>0.0</v>
      </c>
      <c r="G128" s="122">
        <v>0.0</v>
      </c>
      <c r="H128" s="122">
        <v>3000.0</v>
      </c>
      <c r="I128" s="122">
        <v>0.0</v>
      </c>
      <c r="J128" s="122">
        <v>0.0</v>
      </c>
      <c r="K128" s="122">
        <v>0.0</v>
      </c>
      <c r="L128" s="122">
        <v>0.0</v>
      </c>
      <c r="M128" s="122">
        <v>0.0</v>
      </c>
      <c r="N128" s="122">
        <v>0.0</v>
      </c>
      <c r="O128" s="122">
        <v>0.0</v>
      </c>
      <c r="P128" s="122">
        <v>0.0</v>
      </c>
      <c r="Q128" s="122">
        <v>0.0</v>
      </c>
      <c r="R128" s="122">
        <v>0.0</v>
      </c>
      <c r="S128" s="122">
        <v>650.0</v>
      </c>
      <c r="T128" s="122">
        <v>550.0</v>
      </c>
      <c r="U128" s="122">
        <v>692.48</v>
      </c>
      <c r="V128" s="122">
        <v>245.39</v>
      </c>
      <c r="W128" s="122">
        <v>0.0</v>
      </c>
      <c r="X128" s="122">
        <v>0.0</v>
      </c>
      <c r="Y128" s="122">
        <v>0.0</v>
      </c>
      <c r="Z128" s="122">
        <v>0.0</v>
      </c>
      <c r="AA128" s="122">
        <v>4498.08</v>
      </c>
      <c r="AB128" s="122">
        <v>0.0</v>
      </c>
      <c r="AC128" s="122">
        <v>0.0</v>
      </c>
      <c r="AD128" s="122">
        <v>0.0</v>
      </c>
      <c r="AE128" s="122">
        <v>0.0</v>
      </c>
      <c r="AF128" s="122"/>
    </row>
    <row r="129">
      <c r="A129" s="35"/>
      <c r="B129" s="53"/>
      <c r="C129" s="53"/>
      <c r="D129" s="53"/>
      <c r="E129" s="53"/>
      <c r="F129" s="55"/>
      <c r="G129" s="55"/>
      <c r="H129" s="54"/>
      <c r="I129" s="54"/>
      <c r="J129" s="54"/>
      <c r="K129" s="54"/>
      <c r="L129" s="54"/>
    </row>
    <row r="130">
      <c r="A130" s="26" t="s">
        <v>100</v>
      </c>
      <c r="B130" s="27" t="s">
        <v>1</v>
      </c>
      <c r="C130" s="28" t="s">
        <v>2</v>
      </c>
      <c r="D130" s="28" t="s">
        <v>3</v>
      </c>
      <c r="E130" s="28" t="s">
        <v>4</v>
      </c>
      <c r="F130" s="29" t="s">
        <v>5</v>
      </c>
      <c r="G130" s="29" t="s">
        <v>6</v>
      </c>
      <c r="H130" s="29" t="s">
        <v>105</v>
      </c>
      <c r="I130" s="28" t="s">
        <v>8</v>
      </c>
      <c r="J130" s="29" t="s">
        <v>10</v>
      </c>
      <c r="K130" s="16"/>
      <c r="L130" s="51"/>
    </row>
    <row r="131">
      <c r="A131" s="112" t="s">
        <v>93</v>
      </c>
      <c r="B131" s="113">
        <v>120.0</v>
      </c>
      <c r="C131" s="78">
        <f>SUM(B135:AE135)</f>
        <v>134</v>
      </c>
      <c r="D131" s="93">
        <f>C131/B131</f>
        <v>1.116666667</v>
      </c>
      <c r="E131" s="91">
        <f>B131-C131</f>
        <v>-14</v>
      </c>
      <c r="F131" s="78"/>
      <c r="G131" s="124"/>
      <c r="H131" s="78"/>
      <c r="I131" s="114"/>
      <c r="J131" s="115">
        <f>C131/30</f>
        <v>4.466666667</v>
      </c>
      <c r="K131" s="79"/>
      <c r="L131" s="79"/>
    </row>
    <row r="132">
      <c r="A132" s="112" t="s">
        <v>94</v>
      </c>
      <c r="B132" s="78">
        <f t="shared" ref="B132:C132" si="25">B133/B131</f>
        <v>3800</v>
      </c>
      <c r="C132" s="78">
        <f t="shared" si="25"/>
        <v>3118.111866</v>
      </c>
      <c r="D132" s="93"/>
      <c r="E132" s="79"/>
      <c r="F132" s="78"/>
      <c r="G132" s="93"/>
      <c r="H132" s="79"/>
      <c r="I132" s="78"/>
      <c r="J132" s="116"/>
      <c r="K132" s="79"/>
      <c r="L132" s="79"/>
    </row>
    <row r="133">
      <c r="A133" s="112" t="s">
        <v>95</v>
      </c>
      <c r="B133" s="113">
        <v>456000.0</v>
      </c>
      <c r="C133" s="78">
        <f>SUM(B137:AE137)+102.75</f>
        <v>417826.99</v>
      </c>
      <c r="D133" s="93">
        <f>C133/B133</f>
        <v>0.9162872588</v>
      </c>
      <c r="E133" s="78">
        <f>B133-C133</f>
        <v>38173.01</v>
      </c>
      <c r="F133" s="78"/>
      <c r="G133" s="124"/>
      <c r="H133" s="78"/>
      <c r="I133" s="78"/>
      <c r="J133" s="91">
        <f>C133/30</f>
        <v>13927.56633</v>
      </c>
      <c r="K133" s="79"/>
      <c r="L133" s="79"/>
    </row>
    <row r="134">
      <c r="A134" s="119" t="s">
        <v>101</v>
      </c>
      <c r="B134" s="128">
        <v>44440.0</v>
      </c>
      <c r="C134" s="128">
        <v>44441.0</v>
      </c>
      <c r="D134" s="128">
        <v>44442.0</v>
      </c>
      <c r="E134" s="128">
        <v>44443.0</v>
      </c>
      <c r="F134" s="128">
        <v>44444.0</v>
      </c>
      <c r="G134" s="128">
        <v>44445.0</v>
      </c>
      <c r="H134" s="128">
        <v>44446.0</v>
      </c>
      <c r="I134" s="128">
        <v>44447.0</v>
      </c>
      <c r="J134" s="128">
        <v>44448.0</v>
      </c>
      <c r="K134" s="128">
        <v>44449.0</v>
      </c>
      <c r="L134" s="128">
        <v>44450.0</v>
      </c>
      <c r="M134" s="128">
        <v>44451.0</v>
      </c>
      <c r="N134" s="128">
        <v>44452.0</v>
      </c>
      <c r="O134" s="128">
        <v>44453.0</v>
      </c>
      <c r="P134" s="128">
        <v>44454.0</v>
      </c>
      <c r="Q134" s="128">
        <v>44455.0</v>
      </c>
      <c r="R134" s="128">
        <v>44456.0</v>
      </c>
      <c r="S134" s="128">
        <v>44457.0</v>
      </c>
      <c r="T134" s="128">
        <v>44458.0</v>
      </c>
      <c r="U134" s="128">
        <v>44459.0</v>
      </c>
      <c r="V134" s="128">
        <v>44460.0</v>
      </c>
      <c r="W134" s="128">
        <v>44461.0</v>
      </c>
      <c r="X134" s="128">
        <v>44462.0</v>
      </c>
      <c r="Y134" s="128">
        <v>44463.0</v>
      </c>
      <c r="Z134" s="128">
        <v>44464.0</v>
      </c>
      <c r="AA134" s="128">
        <v>44465.0</v>
      </c>
      <c r="AB134" s="128">
        <v>44466.0</v>
      </c>
      <c r="AC134" s="128">
        <v>44467.0</v>
      </c>
      <c r="AD134" s="128">
        <v>44468.0</v>
      </c>
      <c r="AE134" s="128">
        <v>44469.0</v>
      </c>
      <c r="AF134" s="128"/>
    </row>
    <row r="135">
      <c r="A135" s="121" t="s">
        <v>93</v>
      </c>
      <c r="B135" s="122">
        <v>8.0</v>
      </c>
      <c r="C135" s="122">
        <v>5.0</v>
      </c>
      <c r="D135" s="122">
        <v>5.0</v>
      </c>
      <c r="E135" s="122">
        <v>6.0</v>
      </c>
      <c r="F135" s="122">
        <v>3.0</v>
      </c>
      <c r="G135" s="122">
        <v>7.0</v>
      </c>
      <c r="H135" s="122">
        <v>6.0</v>
      </c>
      <c r="I135" s="122">
        <v>3.0</v>
      </c>
      <c r="J135" s="122">
        <v>3.0</v>
      </c>
      <c r="K135" s="122">
        <v>6.0</v>
      </c>
      <c r="L135" s="122">
        <v>8.0</v>
      </c>
      <c r="M135" s="122">
        <v>0.0</v>
      </c>
      <c r="N135" s="122">
        <v>4.0</v>
      </c>
      <c r="O135" s="122">
        <v>2.0</v>
      </c>
      <c r="P135" s="122">
        <v>5.0</v>
      </c>
      <c r="Q135" s="122">
        <v>4.0</v>
      </c>
      <c r="R135" s="122">
        <v>6.0</v>
      </c>
      <c r="S135" s="122">
        <v>4.0</v>
      </c>
      <c r="T135" s="122">
        <v>5.0</v>
      </c>
      <c r="U135" s="122">
        <v>3.0</v>
      </c>
      <c r="V135" s="122">
        <v>3.0</v>
      </c>
      <c r="W135" s="122">
        <v>4.0</v>
      </c>
      <c r="X135" s="122">
        <v>3.0</v>
      </c>
      <c r="Y135" s="122">
        <v>4.0</v>
      </c>
      <c r="Z135" s="122">
        <v>3.0</v>
      </c>
      <c r="AA135" s="122">
        <v>5.0</v>
      </c>
      <c r="AB135" s="122">
        <v>3.0</v>
      </c>
      <c r="AC135" s="122">
        <v>4.0</v>
      </c>
      <c r="AD135" s="122">
        <v>7.0</v>
      </c>
      <c r="AE135" s="122">
        <v>5.0</v>
      </c>
      <c r="AF135" s="122"/>
    </row>
    <row r="136">
      <c r="A136" s="121" t="s">
        <v>94</v>
      </c>
      <c r="B136" s="123">
        <f t="shared" ref="B136:AE136" si="26">IFERROR(B137/B135,"-")</f>
        <v>2430.58125</v>
      </c>
      <c r="C136" s="123">
        <f t="shared" si="26"/>
        <v>2858.432</v>
      </c>
      <c r="D136" s="123">
        <f t="shared" si="26"/>
        <v>3253.336</v>
      </c>
      <c r="E136" s="123">
        <f t="shared" si="26"/>
        <v>2489.056667</v>
      </c>
      <c r="F136" s="123">
        <f t="shared" si="26"/>
        <v>5665.903333</v>
      </c>
      <c r="G136" s="123">
        <f t="shared" si="26"/>
        <v>2076.855714</v>
      </c>
      <c r="H136" s="123">
        <f t="shared" si="26"/>
        <v>2543.556667</v>
      </c>
      <c r="I136" s="123">
        <f t="shared" si="26"/>
        <v>5231.233333</v>
      </c>
      <c r="J136" s="123">
        <f t="shared" si="26"/>
        <v>4916.003333</v>
      </c>
      <c r="K136" s="123">
        <f t="shared" si="26"/>
        <v>2549.166667</v>
      </c>
      <c r="L136" s="123">
        <f t="shared" si="26"/>
        <v>1745.1475</v>
      </c>
      <c r="M136" s="123" t="str">
        <f t="shared" si="26"/>
        <v>-</v>
      </c>
      <c r="N136" s="123">
        <f t="shared" si="26"/>
        <v>4071.28</v>
      </c>
      <c r="O136" s="123">
        <f t="shared" si="26"/>
        <v>7281.175</v>
      </c>
      <c r="P136" s="123">
        <f t="shared" si="26"/>
        <v>2858.636</v>
      </c>
      <c r="Q136" s="123">
        <f t="shared" si="26"/>
        <v>2847.895</v>
      </c>
      <c r="R136" s="123">
        <f t="shared" si="26"/>
        <v>1610.8</v>
      </c>
      <c r="S136" s="123">
        <f t="shared" si="26"/>
        <v>1979.03</v>
      </c>
      <c r="T136" s="123">
        <f t="shared" si="26"/>
        <v>1732.754</v>
      </c>
      <c r="U136" s="123">
        <f t="shared" si="26"/>
        <v>2927.086667</v>
      </c>
      <c r="V136" s="123">
        <f t="shared" si="26"/>
        <v>3885.253333</v>
      </c>
      <c r="W136" s="123">
        <f t="shared" si="26"/>
        <v>3511.8175</v>
      </c>
      <c r="X136" s="123">
        <f t="shared" si="26"/>
        <v>5717.416667</v>
      </c>
      <c r="Y136" s="123">
        <f t="shared" si="26"/>
        <v>3013.315</v>
      </c>
      <c r="Z136" s="123">
        <f t="shared" si="26"/>
        <v>3837.326667</v>
      </c>
      <c r="AA136" s="123">
        <f t="shared" si="26"/>
        <v>2201.538</v>
      </c>
      <c r="AB136" s="123">
        <f t="shared" si="26"/>
        <v>5137.353333</v>
      </c>
      <c r="AC136" s="123">
        <f t="shared" si="26"/>
        <v>4329.995</v>
      </c>
      <c r="AD136" s="123">
        <f t="shared" si="26"/>
        <v>2223.978571</v>
      </c>
      <c r="AE136" s="123">
        <f t="shared" si="26"/>
        <v>3468.904</v>
      </c>
      <c r="AF136" s="123"/>
    </row>
    <row r="137">
      <c r="A137" s="121" t="s">
        <v>99</v>
      </c>
      <c r="B137" s="122">
        <v>19444.65</v>
      </c>
      <c r="C137" s="122">
        <v>14292.16</v>
      </c>
      <c r="D137" s="122">
        <v>16266.68</v>
      </c>
      <c r="E137" s="122">
        <v>14934.34</v>
      </c>
      <c r="F137" s="122">
        <v>16997.71</v>
      </c>
      <c r="G137" s="122">
        <v>14537.99</v>
      </c>
      <c r="H137" s="122">
        <v>15261.34</v>
      </c>
      <c r="I137" s="122">
        <v>15693.7</v>
      </c>
      <c r="J137" s="122">
        <v>14748.01</v>
      </c>
      <c r="K137" s="122">
        <v>15295.0</v>
      </c>
      <c r="L137" s="122">
        <v>13961.18</v>
      </c>
      <c r="M137" s="122">
        <v>11660.68</v>
      </c>
      <c r="N137" s="122">
        <v>16285.12</v>
      </c>
      <c r="O137" s="122">
        <v>14562.35</v>
      </c>
      <c r="P137" s="122">
        <v>14293.18</v>
      </c>
      <c r="Q137" s="122">
        <v>11391.58</v>
      </c>
      <c r="R137" s="122">
        <v>9664.8</v>
      </c>
      <c r="S137" s="122">
        <v>7916.12</v>
      </c>
      <c r="T137" s="122">
        <v>8663.77</v>
      </c>
      <c r="U137" s="122">
        <v>8781.26</v>
      </c>
      <c r="V137" s="122">
        <v>11655.76</v>
      </c>
      <c r="W137" s="122">
        <v>14047.27</v>
      </c>
      <c r="X137" s="122">
        <v>17152.25</v>
      </c>
      <c r="Y137" s="122">
        <v>12053.26</v>
      </c>
      <c r="Z137" s="122">
        <v>11511.98</v>
      </c>
      <c r="AA137" s="122">
        <v>11007.69</v>
      </c>
      <c r="AB137" s="122">
        <v>15412.06</v>
      </c>
      <c r="AC137" s="122">
        <v>17319.98</v>
      </c>
      <c r="AD137" s="122">
        <v>15567.85</v>
      </c>
      <c r="AE137" s="122">
        <v>17344.52</v>
      </c>
      <c r="AF137" s="122"/>
    </row>
  </sheetData>
  <conditionalFormatting sqref="H4 H10 H19 H28 H39 H45 H54 H63 H74 H80 H89 H98">
    <cfRule type="cellIs" dxfId="0" priority="1" operator="greaterThan">
      <formula>0</formula>
    </cfRule>
  </conditionalFormatting>
  <conditionalFormatting sqref="H2 H8 H17 H26 H37 H43 H52 H61">
    <cfRule type="cellIs" dxfId="1" priority="2" operator="greaterThanOrEqual">
      <formula>0</formula>
    </cfRule>
  </conditionalFormatting>
  <conditionalFormatting sqref="H4 H10 H19 H28 H39 H45 H54 H63 H74 H80 H89 H98">
    <cfRule type="cellIs" dxfId="1" priority="3" operator="lessThanOrEqual">
      <formula>0</formula>
    </cfRule>
  </conditionalFormatting>
  <conditionalFormatting sqref="H2 H8 H17 H26 H37 H43 H52 H61">
    <cfRule type="cellIs" dxfId="0" priority="4" operator="lessThan">
      <formula>0</formula>
    </cfRule>
  </conditionalFormatting>
  <conditionalFormatting sqref="G4 G10 G19 G28 G39 G45 G54 G63 G74 G80 G89 G98">
    <cfRule type="cellIs" dxfId="0" priority="5" operator="greaterThan">
      <formula>"100%"</formula>
    </cfRule>
  </conditionalFormatting>
  <conditionalFormatting sqref="G2 G8 G17 G26 G37 G43 G52 G61">
    <cfRule type="cellIs" dxfId="1" priority="6" operator="greaterThanOrEqual">
      <formula>"100%"</formula>
    </cfRule>
  </conditionalFormatting>
  <conditionalFormatting sqref="C108">
    <cfRule type="cellIs" dxfId="0" priority="7" operator="greaterThan">
      <formula>B108</formula>
    </cfRule>
  </conditionalFormatting>
  <conditionalFormatting sqref="G2 G8 G17 G26 G37 G43 G52 G61">
    <cfRule type="cellIs" dxfId="0" priority="8" operator="lessThan">
      <formula>"100%"</formula>
    </cfRule>
  </conditionalFormatting>
  <conditionalFormatting sqref="G3 G9 G18 G27 G38 G44 G53 G62 G73 G79 G88 G97">
    <cfRule type="cellIs" dxfId="0" priority="9" operator="greaterThan">
      <formula>"100%"</formula>
    </cfRule>
  </conditionalFormatting>
  <conditionalFormatting sqref="G3 G9 G18 G27 G38 G44 G53 G62 G73 G79 G88 G97">
    <cfRule type="cellIs" dxfId="1" priority="10" operator="lessThanOrEqual">
      <formula>"100%"</formula>
    </cfRule>
  </conditionalFormatting>
  <conditionalFormatting sqref="G4 G10 G19 G28 G39 G45 G54 G63 G74 G80 G89 G98">
    <cfRule type="cellIs" dxfId="1" priority="11" operator="lessThanOrEqual">
      <formula>"100%"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29"/>
    <col customWidth="1" min="2" max="3" width="12.14"/>
    <col customWidth="1" min="4" max="4" width="13.29"/>
    <col customWidth="1" min="5" max="7" width="12.14"/>
    <col customWidth="1" min="8" max="8" width="15.71"/>
    <col customWidth="1" min="9" max="32" width="12.14"/>
  </cols>
  <sheetData>
    <row r="1">
      <c r="A1" s="100" t="s">
        <v>92</v>
      </c>
      <c r="B1" s="101" t="s">
        <v>1</v>
      </c>
      <c r="C1" s="102" t="s">
        <v>2</v>
      </c>
      <c r="D1" s="102" t="str">
        <f>CONCATENATE("Выполнено ",INT(M3/M2*100),"%")</f>
        <v>Выполнено 22%</v>
      </c>
      <c r="E1" s="102" t="s">
        <v>4</v>
      </c>
      <c r="F1" s="103" t="s">
        <v>5</v>
      </c>
      <c r="G1" s="103" t="s">
        <v>6</v>
      </c>
      <c r="H1" s="104" t="s">
        <v>7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 t="shared" ref="B2:C2" si="1">B8+B17+B26</f>
        <v>210</v>
      </c>
      <c r="C2" s="9">
        <f t="shared" si="1"/>
        <v>46</v>
      </c>
      <c r="D2" s="10">
        <f>C2/B2</f>
        <v>0.219047619</v>
      </c>
      <c r="E2" s="9">
        <f>B2-C2</f>
        <v>164</v>
      </c>
      <c r="F2" s="9">
        <f>C2/M3*M2</f>
        <v>203.7142857</v>
      </c>
      <c r="G2" s="10">
        <f t="shared" ref="G2:G4" si="2">F2/B2</f>
        <v>0.9700680272</v>
      </c>
      <c r="H2" s="9">
        <f>F2-B2</f>
        <v>-6.285714286</v>
      </c>
      <c r="I2" s="106">
        <f>E2/(M2-M3)</f>
        <v>6.833333333</v>
      </c>
      <c r="J2" s="46">
        <f>C2/M3</f>
        <v>6.571428571</v>
      </c>
      <c r="K2" s="107"/>
      <c r="M2" s="91" t="str">
        <f>LEFT(N2, 2)</f>
        <v>31</v>
      </c>
      <c r="N2" s="108">
        <f>DATE(YEAR(TODAY()),MONTH(TODAY())+1,1)-1</f>
        <v>44561</v>
      </c>
    </row>
    <row r="3">
      <c r="A3" s="105" t="s">
        <v>94</v>
      </c>
      <c r="B3" s="8">
        <f>B4/B2</f>
        <v>1504.533333</v>
      </c>
      <c r="C3" s="9">
        <f>IFERROR(C4/C2,"-")</f>
        <v>1588.33587</v>
      </c>
      <c r="D3" s="10"/>
      <c r="E3" s="109"/>
      <c r="F3" s="9">
        <f>F4/F2</f>
        <v>1588.33587</v>
      </c>
      <c r="G3" s="10">
        <f t="shared" si="2"/>
        <v>1.05570002</v>
      </c>
      <c r="H3" s="109"/>
      <c r="I3" s="109"/>
      <c r="J3" s="107"/>
      <c r="K3" s="107"/>
      <c r="M3" s="91">
        <f>LEFT(N3, 2)-1</f>
        <v>7</v>
      </c>
      <c r="N3" s="108">
        <f>TODAY()</f>
        <v>44538</v>
      </c>
    </row>
    <row r="4">
      <c r="A4" s="105" t="s">
        <v>95</v>
      </c>
      <c r="B4" s="9">
        <f t="shared" ref="B4:C4" si="3">B10+B19+B28</f>
        <v>315952</v>
      </c>
      <c r="C4" s="9">
        <f t="shared" si="3"/>
        <v>73063.45</v>
      </c>
      <c r="D4" s="10">
        <f>C4/B4</f>
        <v>0.2312485757</v>
      </c>
      <c r="E4" s="9">
        <f>B4-C4</f>
        <v>242888.55</v>
      </c>
      <c r="F4" s="9">
        <f>C4/M3*M2</f>
        <v>323566.7071</v>
      </c>
      <c r="G4" s="10">
        <f t="shared" si="2"/>
        <v>1.024100835</v>
      </c>
      <c r="H4" s="9">
        <f>F4-B4</f>
        <v>7614.707143</v>
      </c>
      <c r="I4" s="19">
        <f>E4/(M2-M3)</f>
        <v>10120.35625</v>
      </c>
      <c r="J4" s="19">
        <f>C4/M3</f>
        <v>10437.63571</v>
      </c>
      <c r="K4" s="107"/>
    </row>
    <row r="6">
      <c r="A6" s="110" t="s">
        <v>96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97</v>
      </c>
      <c r="B7" s="27" t="s">
        <v>1</v>
      </c>
      <c r="C7" s="28" t="s">
        <v>2</v>
      </c>
      <c r="D7" s="28" t="s">
        <v>3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120.0</v>
      </c>
      <c r="C8" s="78">
        <f>SUM(B12:AF12)</f>
        <v>33</v>
      </c>
      <c r="D8" s="93">
        <f>C8/B8</f>
        <v>0.275</v>
      </c>
      <c r="E8" s="91">
        <f>B8-C8</f>
        <v>87</v>
      </c>
      <c r="F8" s="78">
        <f>C8/M3*M2</f>
        <v>146.1428571</v>
      </c>
      <c r="G8" s="93">
        <f t="shared" ref="G8:G10" si="4">F8/B8</f>
        <v>1.217857143</v>
      </c>
      <c r="H8" s="78">
        <f>F8-B8</f>
        <v>26.14285714</v>
      </c>
      <c r="I8" s="114">
        <f>E8/(M2-M3)</f>
        <v>3.625</v>
      </c>
      <c r="J8" s="115">
        <f>C8/M3</f>
        <v>4.714285714</v>
      </c>
      <c r="K8" s="116"/>
      <c r="L8" s="13"/>
    </row>
    <row r="9">
      <c r="A9" s="112" t="s">
        <v>94</v>
      </c>
      <c r="B9" s="78">
        <f>B10/B8</f>
        <v>1469.4</v>
      </c>
      <c r="C9" s="78">
        <f>IFERROR(C10/C8,"-")</f>
        <v>1363.808788</v>
      </c>
      <c r="D9" s="93"/>
      <c r="E9" s="79"/>
      <c r="F9" s="78">
        <f>F10/F8</f>
        <v>1363.808788</v>
      </c>
      <c r="G9" s="93">
        <f t="shared" si="4"/>
        <v>0.9281399128</v>
      </c>
      <c r="H9" s="116"/>
      <c r="I9" s="117"/>
      <c r="J9" s="116"/>
      <c r="K9" s="116"/>
      <c r="L9" s="13"/>
    </row>
    <row r="10">
      <c r="A10" s="112" t="s">
        <v>95</v>
      </c>
      <c r="B10" s="113">
        <v>176328.0</v>
      </c>
      <c r="C10" s="78">
        <f>SUM(B14:AF14)</f>
        <v>45005.69</v>
      </c>
      <c r="D10" s="93">
        <f>C10/B10</f>
        <v>0.255238476</v>
      </c>
      <c r="E10" s="78">
        <f>B10-C10</f>
        <v>131322.31</v>
      </c>
      <c r="F10" s="78">
        <f>C10/M3*M2</f>
        <v>199310.9129</v>
      </c>
      <c r="G10" s="93">
        <f t="shared" si="4"/>
        <v>1.130341822</v>
      </c>
      <c r="H10" s="78">
        <f>F10-B10</f>
        <v>22982.91286</v>
      </c>
      <c r="I10" s="78">
        <f>E10/(M2-M3)</f>
        <v>5471.762917</v>
      </c>
      <c r="J10" s="91">
        <f>C10/M3</f>
        <v>6429.384286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22">
        <v>5.0</v>
      </c>
      <c r="C12" s="122">
        <v>5.0</v>
      </c>
      <c r="D12" s="122">
        <v>4.0</v>
      </c>
      <c r="E12" s="122">
        <v>1.0</v>
      </c>
      <c r="F12" s="122">
        <v>4.0</v>
      </c>
      <c r="G12" s="122">
        <v>7.0</v>
      </c>
      <c r="H12" s="122">
        <v>7.0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>
      <c r="A13" s="121" t="s">
        <v>94</v>
      </c>
      <c r="B13" s="123">
        <f t="shared" ref="B13:AF13" si="5">IFERROR(B14/B12,"-")</f>
        <v>1207.382</v>
      </c>
      <c r="C13" s="123">
        <f t="shared" si="5"/>
        <v>1213.594</v>
      </c>
      <c r="D13" s="123">
        <f t="shared" si="5"/>
        <v>1694.1</v>
      </c>
      <c r="E13" s="123">
        <f t="shared" si="5"/>
        <v>5912.14</v>
      </c>
      <c r="F13" s="123">
        <f t="shared" si="5"/>
        <v>1653.7075</v>
      </c>
      <c r="G13" s="123">
        <f t="shared" si="5"/>
        <v>732.0585714</v>
      </c>
      <c r="H13" s="123">
        <f t="shared" si="5"/>
        <v>1210.432857</v>
      </c>
      <c r="I13" s="123" t="str">
        <f t="shared" si="5"/>
        <v>-</v>
      </c>
      <c r="J13" s="123" t="str">
        <f t="shared" si="5"/>
        <v>-</v>
      </c>
      <c r="K13" s="123" t="str">
        <f t="shared" si="5"/>
        <v>-</v>
      </c>
      <c r="L13" s="123" t="str">
        <f t="shared" si="5"/>
        <v>-</v>
      </c>
      <c r="M13" s="123" t="str">
        <f t="shared" si="5"/>
        <v>-</v>
      </c>
      <c r="N13" s="123" t="str">
        <f t="shared" si="5"/>
        <v>-</v>
      </c>
      <c r="O13" s="123" t="str">
        <f t="shared" si="5"/>
        <v>-</v>
      </c>
      <c r="P13" s="123" t="str">
        <f t="shared" si="5"/>
        <v>-</v>
      </c>
      <c r="Q13" s="123" t="str">
        <f t="shared" si="5"/>
        <v>-</v>
      </c>
      <c r="R13" s="123" t="str">
        <f t="shared" si="5"/>
        <v>-</v>
      </c>
      <c r="S13" s="123" t="str">
        <f t="shared" si="5"/>
        <v>-</v>
      </c>
      <c r="T13" s="123" t="str">
        <f t="shared" si="5"/>
        <v>-</v>
      </c>
      <c r="U13" s="123" t="str">
        <f t="shared" si="5"/>
        <v>-</v>
      </c>
      <c r="V13" s="123" t="str">
        <f t="shared" si="5"/>
        <v>-</v>
      </c>
      <c r="W13" s="123" t="str">
        <f t="shared" si="5"/>
        <v>-</v>
      </c>
      <c r="X13" s="123" t="str">
        <f t="shared" si="5"/>
        <v>-</v>
      </c>
      <c r="Y13" s="123" t="str">
        <f t="shared" si="5"/>
        <v>-</v>
      </c>
      <c r="Z13" s="123" t="str">
        <f t="shared" si="5"/>
        <v>-</v>
      </c>
      <c r="AA13" s="123" t="str">
        <f t="shared" si="5"/>
        <v>-</v>
      </c>
      <c r="AB13" s="123" t="str">
        <f t="shared" si="5"/>
        <v>-</v>
      </c>
      <c r="AC13" s="123" t="str">
        <f t="shared" si="5"/>
        <v>-</v>
      </c>
      <c r="AD13" s="123" t="str">
        <f t="shared" si="5"/>
        <v>-</v>
      </c>
      <c r="AE13" s="123" t="str">
        <f t="shared" si="5"/>
        <v>-</v>
      </c>
      <c r="AF13" s="123" t="str">
        <f t="shared" si="5"/>
        <v>-</v>
      </c>
    </row>
    <row r="14">
      <c r="A14" s="121" t="s">
        <v>99</v>
      </c>
      <c r="B14" s="122">
        <v>6036.91</v>
      </c>
      <c r="C14" s="122">
        <v>6067.97</v>
      </c>
      <c r="D14" s="122">
        <v>6776.4</v>
      </c>
      <c r="E14" s="122">
        <v>5912.14</v>
      </c>
      <c r="F14" s="122">
        <v>6614.83</v>
      </c>
      <c r="G14" s="122">
        <v>5124.41</v>
      </c>
      <c r="H14" s="122">
        <v>8473.03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85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106</v>
      </c>
      <c r="B16" s="27" t="s">
        <v>1</v>
      </c>
      <c r="C16" s="28" t="s">
        <v>2</v>
      </c>
      <c r="D16" s="28" t="s">
        <v>3</v>
      </c>
      <c r="E16" s="28" t="s">
        <v>4</v>
      </c>
      <c r="F16" s="29" t="s">
        <v>5</v>
      </c>
      <c r="G16" s="29" t="s">
        <v>6</v>
      </c>
      <c r="H16" s="28" t="s">
        <v>7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>
        <v>5.0</v>
      </c>
      <c r="C17" s="78">
        <f>SUM(B21:AF21)</f>
        <v>1</v>
      </c>
      <c r="D17" s="93">
        <f>C17/B17</f>
        <v>0.2</v>
      </c>
      <c r="E17" s="91">
        <f>B17-C17</f>
        <v>4</v>
      </c>
      <c r="F17" s="78">
        <f>C17/M3*M2</f>
        <v>4.428571429</v>
      </c>
      <c r="G17" s="124">
        <f>F17/B17</f>
        <v>0.8857142857</v>
      </c>
      <c r="H17" s="78">
        <f>F17-B17</f>
        <v>-0.5714285714</v>
      </c>
      <c r="I17" s="114">
        <f>E17/(M2-M3)</f>
        <v>0.1666666667</v>
      </c>
      <c r="J17" s="115">
        <f>C17/M3</f>
        <v>0.1428571429</v>
      </c>
      <c r="K17" s="13"/>
      <c r="L17" s="13"/>
    </row>
    <row r="18">
      <c r="A18" s="112" t="s">
        <v>94</v>
      </c>
      <c r="B18" s="78">
        <f>B19/B17</f>
        <v>2482.6</v>
      </c>
      <c r="C18" s="132">
        <f>IFERROR(C19/C17,"-")</f>
        <v>19.79</v>
      </c>
      <c r="D18" s="93"/>
      <c r="E18" s="84"/>
      <c r="F18" s="132">
        <f>IFERROR(F19/F17,"-")</f>
        <v>19.79</v>
      </c>
      <c r="G18" s="134">
        <f>IFERROR(F18/B18,"-")</f>
        <v>0.007971481511</v>
      </c>
      <c r="H18" s="79"/>
      <c r="I18" s="78"/>
      <c r="J18" s="116"/>
      <c r="K18" s="13"/>
      <c r="L18" s="13"/>
    </row>
    <row r="19">
      <c r="A19" s="112" t="s">
        <v>95</v>
      </c>
      <c r="B19" s="113">
        <v>12413.0</v>
      </c>
      <c r="C19" s="78">
        <f>SUM(B23:AF23)</f>
        <v>19.79</v>
      </c>
      <c r="D19" s="93">
        <f>C19/B19</f>
        <v>0.001594296302</v>
      </c>
      <c r="E19" s="78">
        <f>B19-C19</f>
        <v>12393.21</v>
      </c>
      <c r="F19" s="78">
        <f>C19/M3*M2</f>
        <v>87.64142857</v>
      </c>
      <c r="G19" s="124">
        <f>F19/B19</f>
        <v>0.007060455053</v>
      </c>
      <c r="H19" s="78">
        <f>F19-B19</f>
        <v>-12325.35857</v>
      </c>
      <c r="I19" s="78">
        <f>E19/(M2-M3)</f>
        <v>516.38375</v>
      </c>
      <c r="J19" s="91">
        <f>C19/M3</f>
        <v>2.827142857</v>
      </c>
      <c r="K19" s="87"/>
      <c r="L19" s="13"/>
    </row>
    <row r="20">
      <c r="A20" s="119" t="s">
        <v>108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>
        <v>0.0</v>
      </c>
      <c r="C21" s="122">
        <v>1.0</v>
      </c>
      <c r="D21" s="122">
        <v>0.0</v>
      </c>
      <c r="E21" s="122">
        <v>0.0</v>
      </c>
      <c r="F21" s="122">
        <v>0.0</v>
      </c>
      <c r="G21" s="122">
        <v>0.0</v>
      </c>
      <c r="H21" s="122">
        <v>0.0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>
      <c r="A22" s="121" t="s">
        <v>94</v>
      </c>
      <c r="B22" s="123" t="str">
        <f t="shared" ref="B22:AF22" si="6">IFERROR(B23/B21,"-")</f>
        <v>-</v>
      </c>
      <c r="C22" s="123">
        <f t="shared" si="6"/>
        <v>0</v>
      </c>
      <c r="D22" s="123" t="str">
        <f t="shared" si="6"/>
        <v>-</v>
      </c>
      <c r="E22" s="123" t="str">
        <f t="shared" si="6"/>
        <v>-</v>
      </c>
      <c r="F22" s="123" t="str">
        <f t="shared" si="6"/>
        <v>-</v>
      </c>
      <c r="G22" s="123" t="str">
        <f t="shared" si="6"/>
        <v>-</v>
      </c>
      <c r="H22" s="123" t="str">
        <f t="shared" si="6"/>
        <v>-</v>
      </c>
      <c r="I22" s="123" t="str">
        <f t="shared" si="6"/>
        <v>-</v>
      </c>
      <c r="J22" s="123" t="str">
        <f t="shared" si="6"/>
        <v>-</v>
      </c>
      <c r="K22" s="123" t="str">
        <f t="shared" si="6"/>
        <v>-</v>
      </c>
      <c r="L22" s="123" t="str">
        <f t="shared" si="6"/>
        <v>-</v>
      </c>
      <c r="M22" s="123" t="str">
        <f t="shared" si="6"/>
        <v>-</v>
      </c>
      <c r="N22" s="123" t="str">
        <f t="shared" si="6"/>
        <v>-</v>
      </c>
      <c r="O22" s="123" t="str">
        <f t="shared" si="6"/>
        <v>-</v>
      </c>
      <c r="P22" s="123" t="str">
        <f t="shared" si="6"/>
        <v>-</v>
      </c>
      <c r="Q22" s="123" t="str">
        <f t="shared" si="6"/>
        <v>-</v>
      </c>
      <c r="R22" s="123" t="str">
        <f t="shared" si="6"/>
        <v>-</v>
      </c>
      <c r="S22" s="123" t="str">
        <f t="shared" si="6"/>
        <v>-</v>
      </c>
      <c r="T22" s="123" t="str">
        <f t="shared" si="6"/>
        <v>-</v>
      </c>
      <c r="U22" s="123" t="str">
        <f t="shared" si="6"/>
        <v>-</v>
      </c>
      <c r="V22" s="123" t="str">
        <f t="shared" si="6"/>
        <v>-</v>
      </c>
      <c r="W22" s="123" t="str">
        <f t="shared" si="6"/>
        <v>-</v>
      </c>
      <c r="X22" s="123" t="str">
        <f t="shared" si="6"/>
        <v>-</v>
      </c>
      <c r="Y22" s="123" t="str">
        <f t="shared" si="6"/>
        <v>-</v>
      </c>
      <c r="Z22" s="123" t="str">
        <f t="shared" si="6"/>
        <v>-</v>
      </c>
      <c r="AA22" s="123" t="str">
        <f t="shared" si="6"/>
        <v>-</v>
      </c>
      <c r="AB22" s="123" t="str">
        <f t="shared" si="6"/>
        <v>-</v>
      </c>
      <c r="AC22" s="123" t="str">
        <f t="shared" si="6"/>
        <v>-</v>
      </c>
      <c r="AD22" s="123" t="str">
        <f t="shared" si="6"/>
        <v>-</v>
      </c>
      <c r="AE22" s="123" t="str">
        <f t="shared" si="6"/>
        <v>-</v>
      </c>
      <c r="AF22" s="123" t="str">
        <f t="shared" si="6"/>
        <v>-</v>
      </c>
    </row>
    <row r="23">
      <c r="A23" s="121" t="s">
        <v>99</v>
      </c>
      <c r="B23" s="122">
        <v>0.0</v>
      </c>
      <c r="C23" s="122">
        <v>0.0</v>
      </c>
      <c r="D23" s="122">
        <v>0.0</v>
      </c>
      <c r="E23" s="122">
        <v>0.0</v>
      </c>
      <c r="F23" s="122">
        <v>0.0</v>
      </c>
      <c r="G23" s="122">
        <v>0.0</v>
      </c>
      <c r="H23" s="122">
        <v>19.79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>
      <c r="A24" s="35"/>
      <c r="B24" s="53"/>
      <c r="C24" s="53"/>
      <c r="D24" s="53"/>
      <c r="E24" s="53"/>
      <c r="F24" s="55"/>
      <c r="G24" s="55"/>
      <c r="H24" s="54"/>
      <c r="I24" s="54"/>
      <c r="J24" s="54"/>
      <c r="K24" s="54"/>
      <c r="L24" s="54"/>
    </row>
    <row r="25">
      <c r="A25" s="26" t="s">
        <v>100</v>
      </c>
      <c r="B25" s="27" t="s">
        <v>1</v>
      </c>
      <c r="C25" s="28" t="s">
        <v>2</v>
      </c>
      <c r="D25" s="28" t="s">
        <v>3</v>
      </c>
      <c r="E25" s="28" t="s">
        <v>4</v>
      </c>
      <c r="F25" s="29" t="s">
        <v>5</v>
      </c>
      <c r="G25" s="29" t="s">
        <v>6</v>
      </c>
      <c r="H25" s="28" t="s">
        <v>7</v>
      </c>
      <c r="I25" s="28" t="s">
        <v>8</v>
      </c>
      <c r="J25" s="29" t="s">
        <v>10</v>
      </c>
      <c r="K25" s="16"/>
      <c r="L25" s="51"/>
    </row>
    <row r="26">
      <c r="A26" s="112" t="s">
        <v>93</v>
      </c>
      <c r="B26" s="113">
        <v>85.0</v>
      </c>
      <c r="C26" s="78">
        <f>SUM(B30:AF30)</f>
        <v>12</v>
      </c>
      <c r="D26" s="93">
        <f>C26/B26</f>
        <v>0.1411764706</v>
      </c>
      <c r="E26" s="91">
        <f>B26-C26</f>
        <v>73</v>
      </c>
      <c r="F26" s="78">
        <f>C26/M3*M2</f>
        <v>53.14285714</v>
      </c>
      <c r="G26" s="124">
        <f t="shared" ref="G26:G28" si="7">F26/B26</f>
        <v>0.625210084</v>
      </c>
      <c r="H26" s="78">
        <f>F26-B26</f>
        <v>-31.85714286</v>
      </c>
      <c r="I26" s="114">
        <f>E26/(M2-M3)</f>
        <v>3.041666667</v>
      </c>
      <c r="J26" s="115">
        <f>C26/M3</f>
        <v>1.714285714</v>
      </c>
      <c r="K26" s="79"/>
      <c r="L26" s="79"/>
    </row>
    <row r="27">
      <c r="A27" s="112" t="s">
        <v>94</v>
      </c>
      <c r="B27" s="78">
        <f>B28/B26</f>
        <v>1496.6</v>
      </c>
      <c r="C27" s="132">
        <f>IFERROR(C28/C26,"-")</f>
        <v>2336.4975</v>
      </c>
      <c r="D27" s="93"/>
      <c r="E27" s="79"/>
      <c r="F27" s="78">
        <f>F28/F26</f>
        <v>2336.4975</v>
      </c>
      <c r="G27" s="93">
        <f t="shared" si="7"/>
        <v>1.561203728</v>
      </c>
      <c r="H27" s="79"/>
      <c r="I27" s="78"/>
      <c r="J27" s="116"/>
      <c r="K27" s="79"/>
      <c r="L27" s="79"/>
    </row>
    <row r="28">
      <c r="A28" s="112" t="s">
        <v>95</v>
      </c>
      <c r="B28" s="113">
        <v>127211.0</v>
      </c>
      <c r="C28" s="78">
        <f>SUM(B32:AF32)</f>
        <v>28037.97</v>
      </c>
      <c r="D28" s="93">
        <f>C28/B28</f>
        <v>0.2204052323</v>
      </c>
      <c r="E28" s="78">
        <f>B28-C28</f>
        <v>99173.03</v>
      </c>
      <c r="F28" s="78">
        <f>C28/M3*M2</f>
        <v>124168.1529</v>
      </c>
      <c r="G28" s="124">
        <f t="shared" si="7"/>
        <v>0.9760803143</v>
      </c>
      <c r="H28" s="78">
        <f>F28-B28</f>
        <v>-3042.847143</v>
      </c>
      <c r="I28" s="78">
        <f>E28/(M2-M3)</f>
        <v>4132.209583</v>
      </c>
      <c r="J28" s="91">
        <f>C28/M3</f>
        <v>4005.424286</v>
      </c>
      <c r="K28" s="79"/>
      <c r="L28" s="79"/>
    </row>
    <row r="29">
      <c r="A29" s="119" t="s">
        <v>101</v>
      </c>
      <c r="B29" s="120">
        <v>44531.0</v>
      </c>
      <c r="C29" s="120">
        <v>44532.0</v>
      </c>
      <c r="D29" s="120">
        <v>44533.0</v>
      </c>
      <c r="E29" s="120">
        <v>44534.0</v>
      </c>
      <c r="F29" s="120">
        <v>44535.0</v>
      </c>
      <c r="G29" s="120">
        <v>44536.0</v>
      </c>
      <c r="H29" s="120">
        <v>44537.0</v>
      </c>
      <c r="I29" s="120">
        <v>44538.0</v>
      </c>
      <c r="J29" s="120">
        <v>44539.0</v>
      </c>
      <c r="K29" s="120">
        <v>44540.0</v>
      </c>
      <c r="L29" s="120">
        <v>44541.0</v>
      </c>
      <c r="M29" s="120">
        <v>44542.0</v>
      </c>
      <c r="N29" s="120">
        <v>44543.0</v>
      </c>
      <c r="O29" s="120">
        <v>44544.0</v>
      </c>
      <c r="P29" s="120">
        <v>44545.0</v>
      </c>
      <c r="Q29" s="120">
        <v>44546.0</v>
      </c>
      <c r="R29" s="120">
        <v>44547.0</v>
      </c>
      <c r="S29" s="120">
        <v>44548.0</v>
      </c>
      <c r="T29" s="120">
        <v>44549.0</v>
      </c>
      <c r="U29" s="120">
        <v>44550.0</v>
      </c>
      <c r="V29" s="120">
        <v>44551.0</v>
      </c>
      <c r="W29" s="120">
        <v>44552.0</v>
      </c>
      <c r="X29" s="120">
        <v>44553.0</v>
      </c>
      <c r="Y29" s="120">
        <v>44554.0</v>
      </c>
      <c r="Z29" s="120">
        <v>44555.0</v>
      </c>
      <c r="AA29" s="120">
        <v>44556.0</v>
      </c>
      <c r="AB29" s="120">
        <v>44557.0</v>
      </c>
      <c r="AC29" s="120">
        <v>44558.0</v>
      </c>
      <c r="AD29" s="120">
        <v>44559.0</v>
      </c>
      <c r="AE29" s="120">
        <v>44560.0</v>
      </c>
      <c r="AF29" s="120">
        <v>44561.0</v>
      </c>
    </row>
    <row r="30">
      <c r="A30" s="121" t="s">
        <v>93</v>
      </c>
      <c r="B30" s="122">
        <v>1.0</v>
      </c>
      <c r="C30" s="122">
        <v>3.0</v>
      </c>
      <c r="D30" s="122">
        <v>0.0</v>
      </c>
      <c r="E30" s="122">
        <v>2.0</v>
      </c>
      <c r="F30" s="122">
        <v>1.0</v>
      </c>
      <c r="G30" s="122">
        <v>2.0</v>
      </c>
      <c r="H30" s="122">
        <v>3.0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>
      <c r="A31" s="121" t="s">
        <v>94</v>
      </c>
      <c r="B31" s="123">
        <f t="shared" ref="B31:AF31" si="8">IFERROR(B32/B30,"-")</f>
        <v>4206.06</v>
      </c>
      <c r="C31" s="123">
        <f t="shared" si="8"/>
        <v>1444.316667</v>
      </c>
      <c r="D31" s="123" t="str">
        <f t="shared" si="8"/>
        <v>-</v>
      </c>
      <c r="E31" s="123">
        <f t="shared" si="8"/>
        <v>1942.595</v>
      </c>
      <c r="F31" s="123">
        <f t="shared" si="8"/>
        <v>2879.3</v>
      </c>
      <c r="G31" s="123">
        <f t="shared" si="8"/>
        <v>2035.205</v>
      </c>
      <c r="H31" s="123">
        <f t="shared" si="8"/>
        <v>1812.96</v>
      </c>
      <c r="I31" s="123" t="str">
        <f t="shared" si="8"/>
        <v>-</v>
      </c>
      <c r="J31" s="123" t="str">
        <f t="shared" si="8"/>
        <v>-</v>
      </c>
      <c r="K31" s="123" t="str">
        <f t="shared" si="8"/>
        <v>-</v>
      </c>
      <c r="L31" s="123" t="str">
        <f t="shared" si="8"/>
        <v>-</v>
      </c>
      <c r="M31" s="123" t="str">
        <f t="shared" si="8"/>
        <v>-</v>
      </c>
      <c r="N31" s="123" t="str">
        <f t="shared" si="8"/>
        <v>-</v>
      </c>
      <c r="O31" s="123" t="str">
        <f t="shared" si="8"/>
        <v>-</v>
      </c>
      <c r="P31" s="123" t="str">
        <f t="shared" si="8"/>
        <v>-</v>
      </c>
      <c r="Q31" s="123" t="str">
        <f t="shared" si="8"/>
        <v>-</v>
      </c>
      <c r="R31" s="123" t="str">
        <f t="shared" si="8"/>
        <v>-</v>
      </c>
      <c r="S31" s="123" t="str">
        <f t="shared" si="8"/>
        <v>-</v>
      </c>
      <c r="T31" s="123" t="str">
        <f t="shared" si="8"/>
        <v>-</v>
      </c>
      <c r="U31" s="123" t="str">
        <f t="shared" si="8"/>
        <v>-</v>
      </c>
      <c r="V31" s="123" t="str">
        <f t="shared" si="8"/>
        <v>-</v>
      </c>
      <c r="W31" s="123" t="str">
        <f t="shared" si="8"/>
        <v>-</v>
      </c>
      <c r="X31" s="123" t="str">
        <f t="shared" si="8"/>
        <v>-</v>
      </c>
      <c r="Y31" s="123" t="str">
        <f t="shared" si="8"/>
        <v>-</v>
      </c>
      <c r="Z31" s="123" t="str">
        <f t="shared" si="8"/>
        <v>-</v>
      </c>
      <c r="AA31" s="123" t="str">
        <f t="shared" si="8"/>
        <v>-</v>
      </c>
      <c r="AB31" s="123" t="str">
        <f t="shared" si="8"/>
        <v>-</v>
      </c>
      <c r="AC31" s="123" t="str">
        <f t="shared" si="8"/>
        <v>-</v>
      </c>
      <c r="AD31" s="123" t="str">
        <f t="shared" si="8"/>
        <v>-</v>
      </c>
      <c r="AE31" s="123" t="str">
        <f t="shared" si="8"/>
        <v>-</v>
      </c>
      <c r="AF31" s="123" t="str">
        <f t="shared" si="8"/>
        <v>-</v>
      </c>
    </row>
    <row r="32">
      <c r="A32" s="121" t="s">
        <v>99</v>
      </c>
      <c r="B32" s="122">
        <v>4206.06</v>
      </c>
      <c r="C32" s="122">
        <v>4332.95</v>
      </c>
      <c r="D32" s="122">
        <v>3225.18</v>
      </c>
      <c r="E32" s="122">
        <v>3885.19</v>
      </c>
      <c r="F32" s="122">
        <v>2879.3</v>
      </c>
      <c r="G32" s="122">
        <v>4070.41</v>
      </c>
      <c r="H32" s="122">
        <v>5438.88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>
      <c r="A33" s="125"/>
      <c r="B33" s="9"/>
      <c r="C33" s="13"/>
      <c r="D33" s="13"/>
      <c r="E33" s="13"/>
      <c r="F33" s="126"/>
      <c r="G33" s="126"/>
      <c r="H33" s="16"/>
      <c r="I33" s="16"/>
      <c r="J33" s="126"/>
      <c r="K33" s="16"/>
    </row>
    <row r="34">
      <c r="A34" s="125"/>
      <c r="B34" s="9"/>
      <c r="C34" s="13"/>
      <c r="D34" s="13"/>
      <c r="E34" s="13"/>
      <c r="F34" s="126"/>
      <c r="G34" s="126"/>
      <c r="H34" s="16"/>
      <c r="I34" s="16"/>
      <c r="J34" s="126"/>
      <c r="K34" s="16"/>
    </row>
    <row r="35">
      <c r="A35" s="125"/>
      <c r="B35" s="9"/>
      <c r="C35" s="13"/>
      <c r="D35" s="13"/>
      <c r="E35" s="13"/>
      <c r="F35" s="126"/>
      <c r="G35" s="126"/>
      <c r="H35" s="16"/>
      <c r="I35" s="16"/>
      <c r="J35" s="126"/>
      <c r="K35" s="16"/>
    </row>
    <row r="36">
      <c r="A36" s="100" t="s">
        <v>102</v>
      </c>
      <c r="B36" s="101" t="s">
        <v>1</v>
      </c>
      <c r="C36" s="102" t="s">
        <v>2</v>
      </c>
      <c r="D36" s="127" t="s">
        <v>3</v>
      </c>
      <c r="E36" s="102" t="s">
        <v>4</v>
      </c>
      <c r="F36" s="103" t="s">
        <v>5</v>
      </c>
      <c r="G36" s="103" t="s">
        <v>6</v>
      </c>
      <c r="H36" s="104" t="s">
        <v>7</v>
      </c>
      <c r="I36" s="104" t="s">
        <v>8</v>
      </c>
      <c r="J36" s="103" t="s">
        <v>10</v>
      </c>
      <c r="K36" s="16"/>
    </row>
    <row r="37">
      <c r="A37" s="105" t="s">
        <v>93</v>
      </c>
      <c r="B37" s="9">
        <f t="shared" ref="B37:C37" si="9">B43+B52+B61</f>
        <v>220</v>
      </c>
      <c r="C37" s="9">
        <f t="shared" si="9"/>
        <v>192</v>
      </c>
      <c r="D37" s="10">
        <f>C37/B37</f>
        <v>0.8727272727</v>
      </c>
      <c r="E37" s="9">
        <f>B37-C37</f>
        <v>28</v>
      </c>
      <c r="F37" s="9"/>
      <c r="G37" s="10"/>
      <c r="H37" s="9"/>
      <c r="I37" s="106"/>
      <c r="J37" s="46">
        <f>C37/30</f>
        <v>6.4</v>
      </c>
      <c r="K37" s="107"/>
      <c r="M37" s="91"/>
      <c r="N37" s="108"/>
    </row>
    <row r="38">
      <c r="A38" s="105" t="s">
        <v>94</v>
      </c>
      <c r="B38" s="8">
        <f>B39/B37</f>
        <v>1552.272727</v>
      </c>
      <c r="C38" s="9">
        <f>IFERROR(C39/C37,"-")</f>
        <v>1598.043854</v>
      </c>
      <c r="D38" s="10"/>
      <c r="E38" s="109"/>
      <c r="F38" s="9"/>
      <c r="G38" s="10"/>
      <c r="H38" s="109"/>
      <c r="I38" s="109"/>
      <c r="J38" s="107"/>
      <c r="K38" s="107"/>
      <c r="M38" s="91"/>
      <c r="N38" s="108"/>
    </row>
    <row r="39">
      <c r="A39" s="105" t="s">
        <v>95</v>
      </c>
      <c r="B39" s="9">
        <f t="shared" ref="B39:C39" si="10">B45+B54+B63</f>
        <v>341500</v>
      </c>
      <c r="C39" s="9">
        <f t="shared" si="10"/>
        <v>306824.42</v>
      </c>
      <c r="D39" s="10">
        <f>C39/B39</f>
        <v>0.8984609663</v>
      </c>
      <c r="E39" s="9">
        <f>B39-C39</f>
        <v>34675.58</v>
      </c>
      <c r="F39" s="9"/>
      <c r="G39" s="10"/>
      <c r="H39" s="9"/>
      <c r="I39" s="19"/>
      <c r="J39" s="19">
        <f>C39/30</f>
        <v>10227.48067</v>
      </c>
      <c r="K39" s="107"/>
    </row>
    <row r="41">
      <c r="A41" s="110" t="s">
        <v>96</v>
      </c>
      <c r="B41" s="22"/>
      <c r="C41" s="23"/>
      <c r="D41" s="23"/>
      <c r="E41" s="23"/>
      <c r="F41" s="23"/>
      <c r="G41" s="23"/>
      <c r="H41" s="23"/>
      <c r="I41" s="23"/>
      <c r="J41" s="23"/>
      <c r="K41" s="24"/>
      <c r="L41" s="24"/>
    </row>
    <row r="42">
      <c r="A42" s="26" t="s">
        <v>97</v>
      </c>
      <c r="B42" s="27" t="s">
        <v>1</v>
      </c>
      <c r="C42" s="28" t="s">
        <v>2</v>
      </c>
      <c r="D42" s="28" t="s">
        <v>3</v>
      </c>
      <c r="E42" s="28" t="s">
        <v>4</v>
      </c>
      <c r="F42" s="29" t="s">
        <v>5</v>
      </c>
      <c r="G42" s="29" t="s">
        <v>6</v>
      </c>
      <c r="H42" s="28" t="s">
        <v>7</v>
      </c>
      <c r="I42" s="28" t="s">
        <v>8</v>
      </c>
      <c r="J42" s="29" t="s">
        <v>10</v>
      </c>
      <c r="K42" s="16"/>
      <c r="L42" s="111"/>
    </row>
    <row r="43">
      <c r="A43" s="112" t="s">
        <v>93</v>
      </c>
      <c r="B43" s="113">
        <v>125.0</v>
      </c>
      <c r="C43" s="78">
        <f>SUM(B47:AF47)+1</f>
        <v>130</v>
      </c>
      <c r="D43" s="93">
        <f>C43/B43</f>
        <v>1.04</v>
      </c>
      <c r="E43" s="91">
        <f>B43-C43</f>
        <v>-5</v>
      </c>
      <c r="F43" s="78"/>
      <c r="G43" s="93"/>
      <c r="H43" s="78"/>
      <c r="I43" s="114"/>
      <c r="J43" s="115">
        <f>C43/30</f>
        <v>4.333333333</v>
      </c>
      <c r="K43" s="116"/>
      <c r="L43" s="13"/>
    </row>
    <row r="44">
      <c r="A44" s="112" t="s">
        <v>94</v>
      </c>
      <c r="B44" s="78">
        <f>B45/B43</f>
        <v>1500</v>
      </c>
      <c r="C44" s="78">
        <f>IFERROR(C45/C43,"-")</f>
        <v>1487.799231</v>
      </c>
      <c r="D44" s="93"/>
      <c r="E44" s="79"/>
      <c r="F44" s="78"/>
      <c r="G44" s="93"/>
      <c r="H44" s="116"/>
      <c r="I44" s="117"/>
      <c r="J44" s="116"/>
      <c r="K44" s="116"/>
      <c r="L44" s="13"/>
    </row>
    <row r="45">
      <c r="A45" s="112" t="s">
        <v>95</v>
      </c>
      <c r="B45" s="113">
        <v>187500.0</v>
      </c>
      <c r="C45" s="78">
        <f>SUM(B49:AF49)</f>
        <v>193413.9</v>
      </c>
      <c r="D45" s="93">
        <f>C45/B45</f>
        <v>1.0315408</v>
      </c>
      <c r="E45" s="78">
        <f>B45-C45</f>
        <v>-5913.9</v>
      </c>
      <c r="F45" s="78"/>
      <c r="G45" s="93"/>
      <c r="H45" s="78"/>
      <c r="I45" s="78"/>
      <c r="J45" s="91">
        <f>C45/30</f>
        <v>6447.13</v>
      </c>
      <c r="K45" s="118"/>
      <c r="L45" s="13"/>
    </row>
    <row r="46">
      <c r="A46" s="119" t="s">
        <v>98</v>
      </c>
      <c r="B46" s="120">
        <v>44501.0</v>
      </c>
      <c r="C46" s="120">
        <v>44502.0</v>
      </c>
      <c r="D46" s="120">
        <v>44503.0</v>
      </c>
      <c r="E46" s="120">
        <v>44504.0</v>
      </c>
      <c r="F46" s="120">
        <v>44505.0</v>
      </c>
      <c r="G46" s="120">
        <v>44506.0</v>
      </c>
      <c r="H46" s="120">
        <v>44507.0</v>
      </c>
      <c r="I46" s="120">
        <v>44508.0</v>
      </c>
      <c r="J46" s="120">
        <v>44509.0</v>
      </c>
      <c r="K46" s="120">
        <v>44510.0</v>
      </c>
      <c r="L46" s="120">
        <v>44511.0</v>
      </c>
      <c r="M46" s="120">
        <v>44512.0</v>
      </c>
      <c r="N46" s="120">
        <v>44513.0</v>
      </c>
      <c r="O46" s="120">
        <v>44514.0</v>
      </c>
      <c r="P46" s="120">
        <v>44515.0</v>
      </c>
      <c r="Q46" s="120">
        <v>44516.0</v>
      </c>
      <c r="R46" s="120">
        <v>44517.0</v>
      </c>
      <c r="S46" s="120">
        <v>44518.0</v>
      </c>
      <c r="T46" s="120">
        <v>44519.0</v>
      </c>
      <c r="U46" s="120">
        <v>44520.0</v>
      </c>
      <c r="V46" s="120">
        <v>44521.0</v>
      </c>
      <c r="W46" s="120">
        <v>44522.0</v>
      </c>
      <c r="X46" s="120">
        <v>44523.0</v>
      </c>
      <c r="Y46" s="120">
        <v>44524.0</v>
      </c>
      <c r="Z46" s="120">
        <v>44525.0</v>
      </c>
      <c r="AA46" s="120">
        <v>44526.0</v>
      </c>
      <c r="AB46" s="120">
        <v>44527.0</v>
      </c>
      <c r="AC46" s="120">
        <v>44528.0</v>
      </c>
      <c r="AD46" s="120">
        <v>44529.0</v>
      </c>
      <c r="AE46" s="120">
        <v>44530.0</v>
      </c>
      <c r="AF46" s="120"/>
    </row>
    <row r="47">
      <c r="A47" s="121" t="s">
        <v>93</v>
      </c>
      <c r="B47" s="122">
        <v>3.0</v>
      </c>
      <c r="C47" s="122">
        <v>5.0</v>
      </c>
      <c r="D47" s="122">
        <v>6.0</v>
      </c>
      <c r="E47" s="122">
        <v>2.0</v>
      </c>
      <c r="F47" s="122">
        <v>4.0</v>
      </c>
      <c r="G47" s="122">
        <v>2.0</v>
      </c>
      <c r="H47" s="122">
        <v>9.0</v>
      </c>
      <c r="I47" s="122">
        <v>8.0</v>
      </c>
      <c r="J47" s="122">
        <v>6.0</v>
      </c>
      <c r="K47" s="122">
        <v>4.0</v>
      </c>
      <c r="L47" s="122">
        <v>5.0</v>
      </c>
      <c r="M47" s="122">
        <v>9.0</v>
      </c>
      <c r="N47" s="122">
        <v>1.0</v>
      </c>
      <c r="O47" s="122">
        <v>2.0</v>
      </c>
      <c r="P47" s="122">
        <v>7.0</v>
      </c>
      <c r="Q47" s="122">
        <v>5.0</v>
      </c>
      <c r="R47" s="122">
        <v>5.0</v>
      </c>
      <c r="S47" s="122">
        <v>1.0</v>
      </c>
      <c r="T47" s="122">
        <v>3.0</v>
      </c>
      <c r="U47" s="122">
        <v>6.0</v>
      </c>
      <c r="V47" s="122">
        <v>4.0</v>
      </c>
      <c r="W47" s="122">
        <v>5.0</v>
      </c>
      <c r="X47" s="122">
        <v>3.0</v>
      </c>
      <c r="Y47" s="122">
        <v>3.0</v>
      </c>
      <c r="Z47" s="122">
        <v>2.0</v>
      </c>
      <c r="AA47" s="122">
        <v>6.0</v>
      </c>
      <c r="AB47" s="122">
        <v>3.0</v>
      </c>
      <c r="AC47" s="122">
        <v>2.0</v>
      </c>
      <c r="AD47" s="122">
        <v>1.0</v>
      </c>
      <c r="AE47" s="122">
        <v>7.0</v>
      </c>
      <c r="AF47" s="122"/>
    </row>
    <row r="48">
      <c r="A48" s="121" t="s">
        <v>94</v>
      </c>
      <c r="B48" s="123">
        <f t="shared" ref="B48:AE48" si="11">IFERROR(B49/B47,"-")</f>
        <v>1691.006667</v>
      </c>
      <c r="C48" s="123">
        <f t="shared" si="11"/>
        <v>1259.716</v>
      </c>
      <c r="D48" s="123">
        <f t="shared" si="11"/>
        <v>1258.55</v>
      </c>
      <c r="E48" s="123">
        <f t="shared" si="11"/>
        <v>2368.54</v>
      </c>
      <c r="F48" s="123">
        <f t="shared" si="11"/>
        <v>1538.1775</v>
      </c>
      <c r="G48" s="123">
        <f t="shared" si="11"/>
        <v>3101.93</v>
      </c>
      <c r="H48" s="123">
        <f t="shared" si="11"/>
        <v>751.6133333</v>
      </c>
      <c r="I48" s="123">
        <f t="shared" si="11"/>
        <v>773.2525</v>
      </c>
      <c r="J48" s="123">
        <f t="shared" si="11"/>
        <v>1176.515</v>
      </c>
      <c r="K48" s="123">
        <f t="shared" si="11"/>
        <v>1826.9925</v>
      </c>
      <c r="L48" s="123">
        <f t="shared" si="11"/>
        <v>1475.432</v>
      </c>
      <c r="M48" s="123">
        <f t="shared" si="11"/>
        <v>772.1522222</v>
      </c>
      <c r="N48" s="123">
        <f t="shared" si="11"/>
        <v>4285.79</v>
      </c>
      <c r="O48" s="123">
        <f t="shared" si="11"/>
        <v>2411.25</v>
      </c>
      <c r="P48" s="123">
        <f t="shared" si="11"/>
        <v>962.7257143</v>
      </c>
      <c r="Q48" s="123">
        <f t="shared" si="11"/>
        <v>1570.116</v>
      </c>
      <c r="R48" s="123">
        <f t="shared" si="11"/>
        <v>1080.02</v>
      </c>
      <c r="S48" s="123">
        <f t="shared" si="11"/>
        <v>6291.94</v>
      </c>
      <c r="T48" s="123">
        <f t="shared" si="11"/>
        <v>2341.7</v>
      </c>
      <c r="U48" s="123">
        <f t="shared" si="11"/>
        <v>996.6233333</v>
      </c>
      <c r="V48" s="123">
        <f t="shared" si="11"/>
        <v>1285.8875</v>
      </c>
      <c r="W48" s="123">
        <f t="shared" si="11"/>
        <v>1401.062</v>
      </c>
      <c r="X48" s="123">
        <f t="shared" si="11"/>
        <v>2653.37</v>
      </c>
      <c r="Y48" s="123">
        <f t="shared" si="11"/>
        <v>2050.86</v>
      </c>
      <c r="Z48" s="123">
        <f t="shared" si="11"/>
        <v>2775.945</v>
      </c>
      <c r="AA48" s="123">
        <f t="shared" si="11"/>
        <v>957.68</v>
      </c>
      <c r="AB48" s="123">
        <f t="shared" si="11"/>
        <v>1983.94</v>
      </c>
      <c r="AC48" s="123">
        <f t="shared" si="11"/>
        <v>4500.18</v>
      </c>
      <c r="AD48" s="123">
        <f t="shared" si="11"/>
        <v>5668.66</v>
      </c>
      <c r="AE48" s="123">
        <f t="shared" si="11"/>
        <v>1311.147143</v>
      </c>
      <c r="AF48" s="123"/>
    </row>
    <row r="49">
      <c r="A49" s="121" t="s">
        <v>99</v>
      </c>
      <c r="B49" s="122">
        <v>5073.02</v>
      </c>
      <c r="C49" s="122">
        <v>6298.58</v>
      </c>
      <c r="D49" s="122">
        <v>7551.3</v>
      </c>
      <c r="E49" s="122">
        <v>4737.08</v>
      </c>
      <c r="F49" s="122">
        <v>6152.71</v>
      </c>
      <c r="G49" s="122">
        <v>6203.86</v>
      </c>
      <c r="H49" s="122">
        <v>6764.52</v>
      </c>
      <c r="I49" s="122">
        <v>6186.02</v>
      </c>
      <c r="J49" s="122">
        <v>7059.09</v>
      </c>
      <c r="K49" s="122">
        <v>7307.97</v>
      </c>
      <c r="L49" s="122">
        <v>7377.16</v>
      </c>
      <c r="M49" s="122">
        <v>6949.37</v>
      </c>
      <c r="N49" s="122">
        <v>4285.79</v>
      </c>
      <c r="O49" s="122">
        <v>4822.5</v>
      </c>
      <c r="P49" s="122">
        <v>6739.08</v>
      </c>
      <c r="Q49" s="122">
        <v>7850.58</v>
      </c>
      <c r="R49" s="122">
        <v>5400.1</v>
      </c>
      <c r="S49" s="122">
        <v>6291.94</v>
      </c>
      <c r="T49" s="122">
        <v>7025.1</v>
      </c>
      <c r="U49" s="122">
        <v>5979.74</v>
      </c>
      <c r="V49" s="122">
        <v>5143.55</v>
      </c>
      <c r="W49" s="122">
        <v>7005.31</v>
      </c>
      <c r="X49" s="122">
        <v>7960.11</v>
      </c>
      <c r="Y49" s="122">
        <v>6152.58</v>
      </c>
      <c r="Z49" s="122">
        <v>5551.89</v>
      </c>
      <c r="AA49" s="122">
        <v>5746.08</v>
      </c>
      <c r="AB49" s="122">
        <v>5951.82</v>
      </c>
      <c r="AC49" s="122">
        <v>9000.36</v>
      </c>
      <c r="AD49" s="122">
        <v>5668.66</v>
      </c>
      <c r="AE49" s="122">
        <v>9178.03</v>
      </c>
      <c r="AF49" s="122"/>
    </row>
    <row r="50">
      <c r="A50" s="51"/>
      <c r="B50" s="87"/>
      <c r="C50" s="85"/>
      <c r="D50" s="85"/>
      <c r="E50" s="85"/>
      <c r="F50" s="85"/>
      <c r="G50" s="85"/>
      <c r="H50" s="85"/>
      <c r="I50" s="85"/>
      <c r="J50" s="85"/>
      <c r="K50" s="51"/>
      <c r="L50" s="51"/>
    </row>
    <row r="51">
      <c r="A51" s="26" t="s">
        <v>106</v>
      </c>
      <c r="B51" s="27" t="s">
        <v>1</v>
      </c>
      <c r="C51" s="28" t="s">
        <v>2</v>
      </c>
      <c r="D51" s="28" t="s">
        <v>3</v>
      </c>
      <c r="E51" s="28" t="s">
        <v>4</v>
      </c>
      <c r="F51" s="29" t="s">
        <v>5</v>
      </c>
      <c r="G51" s="29" t="s">
        <v>6</v>
      </c>
      <c r="H51" s="28" t="s">
        <v>7</v>
      </c>
      <c r="I51" s="28" t="s">
        <v>8</v>
      </c>
      <c r="J51" s="29" t="s">
        <v>10</v>
      </c>
      <c r="K51" s="16"/>
      <c r="L51" s="51"/>
    </row>
    <row r="52">
      <c r="A52" s="112" t="s">
        <v>93</v>
      </c>
      <c r="B52" s="113">
        <v>5.0</v>
      </c>
      <c r="C52" s="78">
        <f>SUM(B56:AF56)</f>
        <v>1</v>
      </c>
      <c r="D52" s="93">
        <f>C52/B52</f>
        <v>0.2</v>
      </c>
      <c r="E52" s="91">
        <f>B52-C52</f>
        <v>4</v>
      </c>
      <c r="F52" s="78"/>
      <c r="G52" s="124"/>
      <c r="H52" s="78"/>
      <c r="I52" s="114"/>
      <c r="J52" s="115">
        <f>C52/30</f>
        <v>0.03333333333</v>
      </c>
      <c r="K52" s="13"/>
      <c r="L52" s="13"/>
    </row>
    <row r="53">
      <c r="A53" s="112" t="s">
        <v>94</v>
      </c>
      <c r="B53" s="78">
        <f>B54/B52</f>
        <v>2000</v>
      </c>
      <c r="C53" s="132">
        <f>IFERROR(C54/C52,"-")</f>
        <v>973.31</v>
      </c>
      <c r="D53" s="93"/>
      <c r="E53" s="84"/>
      <c r="F53" s="132"/>
      <c r="G53" s="134"/>
      <c r="H53" s="79"/>
      <c r="I53" s="78"/>
      <c r="J53" s="116"/>
      <c r="K53" s="13"/>
      <c r="L53" s="13"/>
    </row>
    <row r="54">
      <c r="A54" s="112" t="s">
        <v>95</v>
      </c>
      <c r="B54" s="113">
        <v>10000.0</v>
      </c>
      <c r="C54" s="78">
        <f>SUM(B58:AF58)</f>
        <v>973.31</v>
      </c>
      <c r="D54" s="93">
        <f>C54/B54</f>
        <v>0.097331</v>
      </c>
      <c r="E54" s="78">
        <f>B54-C54</f>
        <v>9026.69</v>
      </c>
      <c r="F54" s="78"/>
      <c r="G54" s="124"/>
      <c r="H54" s="78"/>
      <c r="I54" s="78"/>
      <c r="J54" s="91">
        <f>C54/30</f>
        <v>32.44366667</v>
      </c>
      <c r="K54" s="87"/>
      <c r="L54" s="13"/>
    </row>
    <row r="55">
      <c r="A55" s="119" t="s">
        <v>108</v>
      </c>
      <c r="B55" s="120">
        <v>44501.0</v>
      </c>
      <c r="C55" s="120">
        <v>44502.0</v>
      </c>
      <c r="D55" s="120">
        <v>44503.0</v>
      </c>
      <c r="E55" s="120">
        <v>44504.0</v>
      </c>
      <c r="F55" s="120">
        <v>44505.0</v>
      </c>
      <c r="G55" s="120">
        <v>44506.0</v>
      </c>
      <c r="H55" s="120">
        <v>44507.0</v>
      </c>
      <c r="I55" s="120">
        <v>44508.0</v>
      </c>
      <c r="J55" s="120">
        <v>44509.0</v>
      </c>
      <c r="K55" s="120">
        <v>44510.0</v>
      </c>
      <c r="L55" s="120">
        <v>44511.0</v>
      </c>
      <c r="M55" s="120">
        <v>44512.0</v>
      </c>
      <c r="N55" s="120">
        <v>44513.0</v>
      </c>
      <c r="O55" s="120">
        <v>44514.0</v>
      </c>
      <c r="P55" s="120">
        <v>44515.0</v>
      </c>
      <c r="Q55" s="120">
        <v>44516.0</v>
      </c>
      <c r="R55" s="120">
        <v>44517.0</v>
      </c>
      <c r="S55" s="120">
        <v>44518.0</v>
      </c>
      <c r="T55" s="120">
        <v>44519.0</v>
      </c>
      <c r="U55" s="120">
        <v>44520.0</v>
      </c>
      <c r="V55" s="120">
        <v>44521.0</v>
      </c>
      <c r="W55" s="120">
        <v>44522.0</v>
      </c>
      <c r="X55" s="120">
        <v>44523.0</v>
      </c>
      <c r="Y55" s="120">
        <v>44524.0</v>
      </c>
      <c r="Z55" s="120">
        <v>44525.0</v>
      </c>
      <c r="AA55" s="120">
        <v>44526.0</v>
      </c>
      <c r="AB55" s="120">
        <v>44527.0</v>
      </c>
      <c r="AC55" s="120">
        <v>44528.0</v>
      </c>
      <c r="AD55" s="120">
        <v>44529.0</v>
      </c>
      <c r="AE55" s="120">
        <v>44530.0</v>
      </c>
      <c r="AF55" s="120"/>
    </row>
    <row r="56">
      <c r="A56" s="121" t="s">
        <v>93</v>
      </c>
      <c r="B56" s="122">
        <v>0.0</v>
      </c>
      <c r="C56" s="122">
        <v>1.0</v>
      </c>
      <c r="D56" s="122">
        <v>0.0</v>
      </c>
      <c r="E56" s="122">
        <v>0.0</v>
      </c>
      <c r="F56" s="122">
        <v>0.0</v>
      </c>
      <c r="G56" s="122">
        <v>0.0</v>
      </c>
      <c r="H56" s="122">
        <v>0.0</v>
      </c>
      <c r="I56" s="122">
        <v>0.0</v>
      </c>
      <c r="J56" s="122">
        <v>0.0</v>
      </c>
      <c r="K56" s="122">
        <v>0.0</v>
      </c>
      <c r="L56" s="122">
        <v>0.0</v>
      </c>
      <c r="M56" s="122">
        <v>0.0</v>
      </c>
      <c r="N56" s="122">
        <v>0.0</v>
      </c>
      <c r="O56" s="122">
        <v>0.0</v>
      </c>
      <c r="P56" s="122">
        <v>0.0</v>
      </c>
      <c r="Q56" s="122">
        <v>0.0</v>
      </c>
      <c r="R56" s="122">
        <v>0.0</v>
      </c>
      <c r="S56" s="122">
        <v>0.0</v>
      </c>
      <c r="T56" s="122">
        <v>0.0</v>
      </c>
      <c r="U56" s="122">
        <v>0.0</v>
      </c>
      <c r="V56" s="122">
        <v>0.0</v>
      </c>
      <c r="W56" s="122">
        <v>0.0</v>
      </c>
      <c r="X56" s="122">
        <v>0.0</v>
      </c>
      <c r="Y56" s="122">
        <v>0.0</v>
      </c>
      <c r="Z56" s="122">
        <v>0.0</v>
      </c>
      <c r="AA56" s="122">
        <v>0.0</v>
      </c>
      <c r="AB56" s="122">
        <v>0.0</v>
      </c>
      <c r="AC56" s="122">
        <v>0.0</v>
      </c>
      <c r="AD56" s="122">
        <v>0.0</v>
      </c>
      <c r="AE56" s="122">
        <v>0.0</v>
      </c>
      <c r="AF56" s="122"/>
    </row>
    <row r="57">
      <c r="A57" s="121" t="s">
        <v>94</v>
      </c>
      <c r="B57" s="123" t="str">
        <f t="shared" ref="B57:AE57" si="12">IFERROR(B58/B56,"-")</f>
        <v>-</v>
      </c>
      <c r="C57" s="123">
        <f t="shared" si="12"/>
        <v>0</v>
      </c>
      <c r="D57" s="123" t="str">
        <f t="shared" si="12"/>
        <v>-</v>
      </c>
      <c r="E57" s="123" t="str">
        <f t="shared" si="12"/>
        <v>-</v>
      </c>
      <c r="F57" s="123" t="str">
        <f t="shared" si="12"/>
        <v>-</v>
      </c>
      <c r="G57" s="123" t="str">
        <f t="shared" si="12"/>
        <v>-</v>
      </c>
      <c r="H57" s="123" t="str">
        <f t="shared" si="12"/>
        <v>-</v>
      </c>
      <c r="I57" s="123" t="str">
        <f t="shared" si="12"/>
        <v>-</v>
      </c>
      <c r="J57" s="123" t="str">
        <f t="shared" si="12"/>
        <v>-</v>
      </c>
      <c r="K57" s="123" t="str">
        <f t="shared" si="12"/>
        <v>-</v>
      </c>
      <c r="L57" s="123" t="str">
        <f t="shared" si="12"/>
        <v>-</v>
      </c>
      <c r="M57" s="123" t="str">
        <f t="shared" si="12"/>
        <v>-</v>
      </c>
      <c r="N57" s="123" t="str">
        <f t="shared" si="12"/>
        <v>-</v>
      </c>
      <c r="O57" s="123" t="str">
        <f t="shared" si="12"/>
        <v>-</v>
      </c>
      <c r="P57" s="123" t="str">
        <f t="shared" si="12"/>
        <v>-</v>
      </c>
      <c r="Q57" s="123" t="str">
        <f t="shared" si="12"/>
        <v>-</v>
      </c>
      <c r="R57" s="123" t="str">
        <f t="shared" si="12"/>
        <v>-</v>
      </c>
      <c r="S57" s="123" t="str">
        <f t="shared" si="12"/>
        <v>-</v>
      </c>
      <c r="T57" s="123" t="str">
        <f t="shared" si="12"/>
        <v>-</v>
      </c>
      <c r="U57" s="123" t="str">
        <f t="shared" si="12"/>
        <v>-</v>
      </c>
      <c r="V57" s="123" t="str">
        <f t="shared" si="12"/>
        <v>-</v>
      </c>
      <c r="W57" s="123" t="str">
        <f t="shared" si="12"/>
        <v>-</v>
      </c>
      <c r="X57" s="123" t="str">
        <f t="shared" si="12"/>
        <v>-</v>
      </c>
      <c r="Y57" s="123" t="str">
        <f t="shared" si="12"/>
        <v>-</v>
      </c>
      <c r="Z57" s="123" t="str">
        <f t="shared" si="12"/>
        <v>-</v>
      </c>
      <c r="AA57" s="123" t="str">
        <f t="shared" si="12"/>
        <v>-</v>
      </c>
      <c r="AB57" s="123" t="str">
        <f t="shared" si="12"/>
        <v>-</v>
      </c>
      <c r="AC57" s="123" t="str">
        <f t="shared" si="12"/>
        <v>-</v>
      </c>
      <c r="AD57" s="123" t="str">
        <f t="shared" si="12"/>
        <v>-</v>
      </c>
      <c r="AE57" s="123" t="str">
        <f t="shared" si="12"/>
        <v>-</v>
      </c>
      <c r="AF57" s="123"/>
    </row>
    <row r="58">
      <c r="A58" s="121" t="s">
        <v>99</v>
      </c>
      <c r="B58" s="122">
        <v>0.0</v>
      </c>
      <c r="C58" s="122">
        <v>0.0</v>
      </c>
      <c r="D58" s="122">
        <v>464.73</v>
      </c>
      <c r="E58" s="122">
        <v>6.31</v>
      </c>
      <c r="F58" s="122">
        <v>51.61</v>
      </c>
      <c r="G58" s="122">
        <v>46.16</v>
      </c>
      <c r="H58" s="122">
        <v>15.11</v>
      </c>
      <c r="I58" s="122">
        <v>59.17</v>
      </c>
      <c r="J58" s="122">
        <v>0.0</v>
      </c>
      <c r="K58" s="122">
        <v>80.77</v>
      </c>
      <c r="L58" s="122">
        <v>0.0</v>
      </c>
      <c r="M58" s="122">
        <v>14.25</v>
      </c>
      <c r="N58" s="122">
        <v>0.0</v>
      </c>
      <c r="O58" s="122">
        <v>10.19</v>
      </c>
      <c r="P58" s="122">
        <v>0.0</v>
      </c>
      <c r="Q58" s="122">
        <v>0.0</v>
      </c>
      <c r="R58" s="122">
        <v>0.0</v>
      </c>
      <c r="S58" s="122">
        <v>0.0</v>
      </c>
      <c r="T58" s="122">
        <v>0.0</v>
      </c>
      <c r="U58" s="122">
        <v>15.36</v>
      </c>
      <c r="V58" s="122">
        <v>20.22</v>
      </c>
      <c r="W58" s="122">
        <v>55.83</v>
      </c>
      <c r="X58" s="122">
        <v>19.57</v>
      </c>
      <c r="Y58" s="122">
        <v>0.0</v>
      </c>
      <c r="Z58" s="122">
        <v>0.0</v>
      </c>
      <c r="AA58" s="122">
        <v>73.89</v>
      </c>
      <c r="AB58" s="122">
        <v>0.0</v>
      </c>
      <c r="AC58" s="122">
        <v>20.69</v>
      </c>
      <c r="AD58" s="122">
        <v>19.45</v>
      </c>
      <c r="AE58" s="122">
        <v>0.0</v>
      </c>
      <c r="AF58" s="122"/>
    </row>
    <row r="59">
      <c r="A59" s="35"/>
      <c r="B59" s="53"/>
      <c r="C59" s="53"/>
      <c r="D59" s="53"/>
      <c r="E59" s="53"/>
      <c r="F59" s="55"/>
      <c r="G59" s="55"/>
      <c r="H59" s="54"/>
      <c r="I59" s="54"/>
      <c r="J59" s="54"/>
      <c r="K59" s="54"/>
      <c r="L59" s="54"/>
    </row>
    <row r="60">
      <c r="A60" s="26" t="s">
        <v>100</v>
      </c>
      <c r="B60" s="27" t="s">
        <v>1</v>
      </c>
      <c r="C60" s="28" t="s">
        <v>2</v>
      </c>
      <c r="D60" s="28" t="s">
        <v>3</v>
      </c>
      <c r="E60" s="28" t="s">
        <v>4</v>
      </c>
      <c r="F60" s="29" t="s">
        <v>5</v>
      </c>
      <c r="G60" s="29" t="s">
        <v>6</v>
      </c>
      <c r="H60" s="28" t="s">
        <v>7</v>
      </c>
      <c r="I60" s="28" t="s">
        <v>8</v>
      </c>
      <c r="J60" s="29" t="s">
        <v>10</v>
      </c>
      <c r="K60" s="16"/>
      <c r="L60" s="51"/>
    </row>
    <row r="61">
      <c r="A61" s="112" t="s">
        <v>93</v>
      </c>
      <c r="B61" s="113">
        <v>90.0</v>
      </c>
      <c r="C61" s="78">
        <f>SUM(B65:AF65)</f>
        <v>61</v>
      </c>
      <c r="D61" s="93">
        <f>C61/B61</f>
        <v>0.6777777778</v>
      </c>
      <c r="E61" s="91">
        <f>B61-C61</f>
        <v>29</v>
      </c>
      <c r="F61" s="78"/>
      <c r="G61" s="124"/>
      <c r="H61" s="78"/>
      <c r="I61" s="114"/>
      <c r="J61" s="115">
        <f>C61/30</f>
        <v>2.033333333</v>
      </c>
      <c r="K61" s="79"/>
      <c r="L61" s="79"/>
    </row>
    <row r="62">
      <c r="A62" s="112" t="s">
        <v>94</v>
      </c>
      <c r="B62" s="78">
        <f>B63/B61</f>
        <v>1600</v>
      </c>
      <c r="C62" s="132">
        <f>IFERROR(C63/C61,"-")</f>
        <v>1843.232951</v>
      </c>
      <c r="D62" s="93"/>
      <c r="E62" s="79"/>
      <c r="F62" s="78"/>
      <c r="G62" s="93"/>
      <c r="H62" s="79"/>
      <c r="I62" s="78"/>
      <c r="J62" s="116"/>
      <c r="K62" s="79"/>
      <c r="L62" s="79"/>
    </row>
    <row r="63">
      <c r="A63" s="112" t="s">
        <v>95</v>
      </c>
      <c r="B63" s="113">
        <v>144000.0</v>
      </c>
      <c r="C63" s="78">
        <f>SUM(B67:AF67)-610.76</f>
        <v>112437.21</v>
      </c>
      <c r="D63" s="93">
        <f>C63/B63</f>
        <v>0.7808139583</v>
      </c>
      <c r="E63" s="78">
        <f>B63-C63</f>
        <v>31562.79</v>
      </c>
      <c r="F63" s="78"/>
      <c r="G63" s="124"/>
      <c r="H63" s="78"/>
      <c r="I63" s="78"/>
      <c r="J63" s="91">
        <f>C63/30</f>
        <v>3747.907</v>
      </c>
      <c r="K63" s="79"/>
      <c r="L63" s="79"/>
    </row>
    <row r="64">
      <c r="A64" s="119" t="s">
        <v>101</v>
      </c>
      <c r="B64" s="120">
        <v>44501.0</v>
      </c>
      <c r="C64" s="120">
        <v>44502.0</v>
      </c>
      <c r="D64" s="120">
        <v>44503.0</v>
      </c>
      <c r="E64" s="120">
        <v>44504.0</v>
      </c>
      <c r="F64" s="120">
        <v>44505.0</v>
      </c>
      <c r="G64" s="120">
        <v>44506.0</v>
      </c>
      <c r="H64" s="120">
        <v>44507.0</v>
      </c>
      <c r="I64" s="120">
        <v>44508.0</v>
      </c>
      <c r="J64" s="120">
        <v>44509.0</v>
      </c>
      <c r="K64" s="120">
        <v>44510.0</v>
      </c>
      <c r="L64" s="120">
        <v>44511.0</v>
      </c>
      <c r="M64" s="120">
        <v>44512.0</v>
      </c>
      <c r="N64" s="120">
        <v>44513.0</v>
      </c>
      <c r="O64" s="120">
        <v>44514.0</v>
      </c>
      <c r="P64" s="120">
        <v>44515.0</v>
      </c>
      <c r="Q64" s="120">
        <v>44516.0</v>
      </c>
      <c r="R64" s="120">
        <v>44517.0</v>
      </c>
      <c r="S64" s="120">
        <v>44518.0</v>
      </c>
      <c r="T64" s="120">
        <v>44519.0</v>
      </c>
      <c r="U64" s="120">
        <v>44520.0</v>
      </c>
      <c r="V64" s="120">
        <v>44521.0</v>
      </c>
      <c r="W64" s="120">
        <v>44522.0</v>
      </c>
      <c r="X64" s="120">
        <v>44523.0</v>
      </c>
      <c r="Y64" s="120">
        <v>44524.0</v>
      </c>
      <c r="Z64" s="120">
        <v>44525.0</v>
      </c>
      <c r="AA64" s="120">
        <v>44526.0</v>
      </c>
      <c r="AB64" s="120">
        <v>44527.0</v>
      </c>
      <c r="AC64" s="120">
        <v>44528.0</v>
      </c>
      <c r="AD64" s="120">
        <v>44529.0</v>
      </c>
      <c r="AE64" s="120">
        <v>44530.0</v>
      </c>
      <c r="AF64" s="120"/>
    </row>
    <row r="65">
      <c r="A65" s="121" t="s">
        <v>93</v>
      </c>
      <c r="B65" s="122">
        <v>2.0</v>
      </c>
      <c r="C65" s="122">
        <v>1.0</v>
      </c>
      <c r="D65" s="122">
        <v>4.0</v>
      </c>
      <c r="E65" s="122">
        <v>1.0</v>
      </c>
      <c r="F65" s="122">
        <v>1.0</v>
      </c>
      <c r="G65" s="122">
        <v>4.0</v>
      </c>
      <c r="H65" s="122">
        <v>3.0</v>
      </c>
      <c r="I65" s="122">
        <v>2.0</v>
      </c>
      <c r="J65" s="122">
        <v>2.0</v>
      </c>
      <c r="K65" s="122">
        <v>1.0</v>
      </c>
      <c r="L65" s="122">
        <v>2.0</v>
      </c>
      <c r="M65" s="122">
        <v>4.0</v>
      </c>
      <c r="N65" s="122">
        <v>2.0</v>
      </c>
      <c r="O65" s="122">
        <v>1.0</v>
      </c>
      <c r="P65" s="122">
        <v>1.0</v>
      </c>
      <c r="Q65" s="122">
        <v>1.0</v>
      </c>
      <c r="R65" s="122">
        <v>2.0</v>
      </c>
      <c r="S65" s="122">
        <v>2.0</v>
      </c>
      <c r="T65" s="122">
        <v>1.0</v>
      </c>
      <c r="U65" s="122">
        <v>0.0</v>
      </c>
      <c r="V65" s="122">
        <v>2.0</v>
      </c>
      <c r="W65" s="122">
        <v>4.0</v>
      </c>
      <c r="X65" s="122">
        <v>2.0</v>
      </c>
      <c r="Y65" s="122">
        <v>3.0</v>
      </c>
      <c r="Z65" s="122">
        <v>0.0</v>
      </c>
      <c r="AA65" s="122">
        <v>0.0</v>
      </c>
      <c r="AB65" s="122">
        <v>5.0</v>
      </c>
      <c r="AC65" s="122">
        <v>2.0</v>
      </c>
      <c r="AD65" s="122">
        <v>2.0</v>
      </c>
      <c r="AE65" s="122">
        <v>4.0</v>
      </c>
      <c r="AF65" s="122"/>
    </row>
    <row r="66">
      <c r="A66" s="121" t="s">
        <v>94</v>
      </c>
      <c r="B66" s="123">
        <f t="shared" ref="B66:AE66" si="13">IFERROR(B67/B65,"-")</f>
        <v>1918.935</v>
      </c>
      <c r="C66" s="123">
        <f t="shared" si="13"/>
        <v>3537.5</v>
      </c>
      <c r="D66" s="123">
        <f t="shared" si="13"/>
        <v>843.61</v>
      </c>
      <c r="E66" s="123">
        <f t="shared" si="13"/>
        <v>2447.41</v>
      </c>
      <c r="F66" s="123">
        <f t="shared" si="13"/>
        <v>3322.12</v>
      </c>
      <c r="G66" s="123">
        <f t="shared" si="13"/>
        <v>1031.9175</v>
      </c>
      <c r="H66" s="123">
        <f t="shared" si="13"/>
        <v>1117.133333</v>
      </c>
      <c r="I66" s="123">
        <f t="shared" si="13"/>
        <v>1175.645</v>
      </c>
      <c r="J66" s="123">
        <f t="shared" si="13"/>
        <v>1795.245</v>
      </c>
      <c r="K66" s="123">
        <f t="shared" si="13"/>
        <v>3270.4</v>
      </c>
      <c r="L66" s="123">
        <f t="shared" si="13"/>
        <v>2432.69</v>
      </c>
      <c r="M66" s="123">
        <f t="shared" si="13"/>
        <v>723.9725</v>
      </c>
      <c r="N66" s="123">
        <f t="shared" si="13"/>
        <v>1625.42</v>
      </c>
      <c r="O66" s="123">
        <f t="shared" si="13"/>
        <v>3796.11</v>
      </c>
      <c r="P66" s="123">
        <f t="shared" si="13"/>
        <v>2575.55</v>
      </c>
      <c r="Q66" s="123">
        <f t="shared" si="13"/>
        <v>3953.67</v>
      </c>
      <c r="R66" s="123">
        <f t="shared" si="13"/>
        <v>2289.2</v>
      </c>
      <c r="S66" s="123">
        <f t="shared" si="13"/>
        <v>1972.25</v>
      </c>
      <c r="T66" s="123">
        <f t="shared" si="13"/>
        <v>5194.05</v>
      </c>
      <c r="U66" s="123" t="str">
        <f t="shared" si="13"/>
        <v>-</v>
      </c>
      <c r="V66" s="123">
        <f t="shared" si="13"/>
        <v>1512.29</v>
      </c>
      <c r="W66" s="123">
        <f t="shared" si="13"/>
        <v>1099.8725</v>
      </c>
      <c r="X66" s="123">
        <f t="shared" si="13"/>
        <v>2781.395</v>
      </c>
      <c r="Y66" s="123">
        <f t="shared" si="13"/>
        <v>1243.71</v>
      </c>
      <c r="Z66" s="123" t="str">
        <f t="shared" si="13"/>
        <v>-</v>
      </c>
      <c r="AA66" s="123" t="str">
        <f t="shared" si="13"/>
        <v>-</v>
      </c>
      <c r="AB66" s="123">
        <f t="shared" si="13"/>
        <v>1307.486</v>
      </c>
      <c r="AC66" s="123">
        <f t="shared" si="13"/>
        <v>1904.88</v>
      </c>
      <c r="AD66" s="123">
        <f t="shared" si="13"/>
        <v>1078.26</v>
      </c>
      <c r="AE66" s="123">
        <f t="shared" si="13"/>
        <v>1017.3075</v>
      </c>
      <c r="AF66" s="123"/>
    </row>
    <row r="67">
      <c r="A67" s="121" t="s">
        <v>99</v>
      </c>
      <c r="B67" s="122">
        <v>3837.87</v>
      </c>
      <c r="C67" s="122">
        <v>3537.5</v>
      </c>
      <c r="D67" s="122">
        <v>3374.44</v>
      </c>
      <c r="E67" s="122">
        <v>2447.41</v>
      </c>
      <c r="F67" s="122">
        <v>3322.12</v>
      </c>
      <c r="G67" s="122">
        <v>4127.67</v>
      </c>
      <c r="H67" s="122">
        <v>3351.4</v>
      </c>
      <c r="I67" s="122">
        <v>2351.29</v>
      </c>
      <c r="J67" s="122">
        <v>3590.49</v>
      </c>
      <c r="K67" s="122">
        <v>3270.4</v>
      </c>
      <c r="L67" s="122">
        <v>4865.38</v>
      </c>
      <c r="M67" s="122">
        <v>2895.89</v>
      </c>
      <c r="N67" s="122">
        <v>3250.84</v>
      </c>
      <c r="O67" s="122">
        <v>3796.11</v>
      </c>
      <c r="P67" s="122">
        <v>2575.55</v>
      </c>
      <c r="Q67" s="122">
        <v>3953.67</v>
      </c>
      <c r="R67" s="122">
        <v>4578.4</v>
      </c>
      <c r="S67" s="122">
        <v>3944.5</v>
      </c>
      <c r="T67" s="122">
        <v>5194.05</v>
      </c>
      <c r="U67" s="122">
        <v>3442.49</v>
      </c>
      <c r="V67" s="122">
        <v>3024.58</v>
      </c>
      <c r="W67" s="122">
        <v>4399.49</v>
      </c>
      <c r="X67" s="122">
        <v>5562.79</v>
      </c>
      <c r="Y67" s="122">
        <v>3731.13</v>
      </c>
      <c r="Z67" s="122">
        <v>5752.37</v>
      </c>
      <c r="AA67" s="122">
        <v>2297.2</v>
      </c>
      <c r="AB67" s="122">
        <v>6537.43</v>
      </c>
      <c r="AC67" s="122">
        <v>3809.76</v>
      </c>
      <c r="AD67" s="122">
        <v>2156.52</v>
      </c>
      <c r="AE67" s="122">
        <v>4069.23</v>
      </c>
      <c r="AF67" s="122"/>
    </row>
    <row r="68">
      <c r="A68" s="125"/>
      <c r="B68" s="9"/>
      <c r="C68" s="13"/>
      <c r="D68" s="13"/>
      <c r="E68" s="13"/>
      <c r="F68" s="126"/>
      <c r="G68" s="126"/>
      <c r="H68" s="16"/>
      <c r="I68" s="16"/>
      <c r="J68" s="126"/>
      <c r="K68" s="16"/>
    </row>
    <row r="69">
      <c r="A69" s="125"/>
      <c r="B69" s="9"/>
      <c r="C69" s="13"/>
      <c r="D69" s="13"/>
      <c r="E69" s="13"/>
      <c r="F69" s="126"/>
      <c r="G69" s="126"/>
      <c r="H69" s="16"/>
      <c r="I69" s="16"/>
      <c r="J69" s="126"/>
      <c r="K69" s="16"/>
    </row>
    <row r="70">
      <c r="A70" s="125"/>
      <c r="B70" s="9"/>
      <c r="C70" s="13"/>
      <c r="D70" s="13"/>
      <c r="E70" s="13"/>
      <c r="F70" s="126"/>
      <c r="G70" s="126"/>
      <c r="H70" s="16"/>
      <c r="I70" s="16"/>
      <c r="J70" s="126"/>
      <c r="K70" s="16"/>
    </row>
    <row r="71">
      <c r="A71" s="100" t="s">
        <v>103</v>
      </c>
      <c r="B71" s="101" t="s">
        <v>1</v>
      </c>
      <c r="C71" s="102" t="s">
        <v>2</v>
      </c>
      <c r="D71" s="127" t="s">
        <v>3</v>
      </c>
      <c r="E71" s="102" t="s">
        <v>4</v>
      </c>
      <c r="F71" s="103" t="s">
        <v>5</v>
      </c>
      <c r="G71" s="103" t="s">
        <v>6</v>
      </c>
      <c r="H71" s="104" t="s">
        <v>7</v>
      </c>
      <c r="I71" s="104" t="s">
        <v>8</v>
      </c>
      <c r="J71" s="103" t="s">
        <v>10</v>
      </c>
      <c r="K71" s="16"/>
    </row>
    <row r="72">
      <c r="A72" s="105" t="s">
        <v>93</v>
      </c>
      <c r="B72" s="9">
        <f t="shared" ref="B72:C72" si="14">B78+B87+B96</f>
        <v>195</v>
      </c>
      <c r="C72" s="9">
        <f t="shared" si="14"/>
        <v>174</v>
      </c>
      <c r="D72" s="10">
        <f>C72/B72</f>
        <v>0.8923076923</v>
      </c>
      <c r="E72" s="9">
        <f>B72-C72</f>
        <v>21</v>
      </c>
      <c r="F72" s="9"/>
      <c r="G72" s="10"/>
      <c r="H72" s="9"/>
      <c r="I72" s="106"/>
      <c r="J72" s="46">
        <f>C72/31</f>
        <v>5.612903226</v>
      </c>
      <c r="K72" s="107"/>
      <c r="M72" s="91"/>
      <c r="N72" s="108"/>
    </row>
    <row r="73">
      <c r="A73" s="105" t="s">
        <v>94</v>
      </c>
      <c r="B73" s="8">
        <f>B74/B72</f>
        <v>1323.076923</v>
      </c>
      <c r="C73" s="9">
        <f>IFERROR(C74/C72,"-")</f>
        <v>1693.02046</v>
      </c>
      <c r="D73" s="10"/>
      <c r="E73" s="109"/>
      <c r="F73" s="9"/>
      <c r="G73" s="10"/>
      <c r="H73" s="109"/>
      <c r="I73" s="109"/>
      <c r="J73" s="107"/>
      <c r="K73" s="107"/>
      <c r="M73" s="91"/>
      <c r="N73" s="108"/>
    </row>
    <row r="74">
      <c r="A74" s="105" t="s">
        <v>95</v>
      </c>
      <c r="B74" s="9">
        <f t="shared" ref="B74:C74" si="15">B80+B89+B98</f>
        <v>258000</v>
      </c>
      <c r="C74" s="9">
        <f t="shared" si="15"/>
        <v>294585.56</v>
      </c>
      <c r="D74" s="10">
        <f>C74/B74</f>
        <v>1.141804496</v>
      </c>
      <c r="E74" s="9">
        <f>B74-C74</f>
        <v>-36585.56</v>
      </c>
      <c r="F74" s="9"/>
      <c r="G74" s="10"/>
      <c r="H74" s="9"/>
      <c r="I74" s="19"/>
      <c r="J74" s="19">
        <f>C74/31</f>
        <v>9502.76</v>
      </c>
      <c r="K74" s="107"/>
    </row>
    <row r="76">
      <c r="A76" s="110" t="s">
        <v>96</v>
      </c>
      <c r="B76" s="22"/>
      <c r="C76" s="23"/>
      <c r="D76" s="23"/>
      <c r="E76" s="23"/>
      <c r="F76" s="23"/>
      <c r="G76" s="23"/>
      <c r="H76" s="23"/>
      <c r="I76" s="23"/>
      <c r="J76" s="23"/>
      <c r="K76" s="24"/>
      <c r="L76" s="24"/>
    </row>
    <row r="77">
      <c r="A77" s="26" t="s">
        <v>97</v>
      </c>
      <c r="B77" s="27" t="s">
        <v>1</v>
      </c>
      <c r="C77" s="28" t="s">
        <v>2</v>
      </c>
      <c r="D77" s="28" t="s">
        <v>3</v>
      </c>
      <c r="E77" s="28" t="s">
        <v>4</v>
      </c>
      <c r="F77" s="29" t="s">
        <v>5</v>
      </c>
      <c r="G77" s="29" t="s">
        <v>6</v>
      </c>
      <c r="H77" s="28" t="s">
        <v>7</v>
      </c>
      <c r="I77" s="28" t="s">
        <v>8</v>
      </c>
      <c r="J77" s="29" t="s">
        <v>10</v>
      </c>
      <c r="K77" s="16"/>
      <c r="L77" s="111"/>
    </row>
    <row r="78">
      <c r="A78" s="112" t="s">
        <v>93</v>
      </c>
      <c r="B78" s="113">
        <v>100.0</v>
      </c>
      <c r="C78" s="78">
        <f>SUM(B82:AF82)</f>
        <v>109</v>
      </c>
      <c r="D78" s="93">
        <f>C78/B78</f>
        <v>1.09</v>
      </c>
      <c r="E78" s="91">
        <f>B78-C78</f>
        <v>-9</v>
      </c>
      <c r="F78" s="78"/>
      <c r="G78" s="93"/>
      <c r="H78" s="78"/>
      <c r="I78" s="114"/>
      <c r="J78" s="115">
        <f>C78/31</f>
        <v>3.516129032</v>
      </c>
      <c r="K78" s="116"/>
      <c r="L78" s="13"/>
    </row>
    <row r="79">
      <c r="A79" s="112" t="s">
        <v>94</v>
      </c>
      <c r="B79" s="78">
        <f>B80/B78</f>
        <v>1400</v>
      </c>
      <c r="C79" s="78">
        <f>IFERROR(C80/C78,"-")</f>
        <v>1557.921284</v>
      </c>
      <c r="D79" s="93"/>
      <c r="E79" s="79"/>
      <c r="F79" s="78"/>
      <c r="G79" s="93"/>
      <c r="H79" s="116"/>
      <c r="I79" s="117"/>
      <c r="J79" s="116"/>
      <c r="K79" s="116"/>
      <c r="L79" s="13"/>
    </row>
    <row r="80">
      <c r="A80" s="112" t="s">
        <v>95</v>
      </c>
      <c r="B80" s="113">
        <v>140000.0</v>
      </c>
      <c r="C80" s="78">
        <f>SUM(B84:AF84)</f>
        <v>169813.42</v>
      </c>
      <c r="D80" s="93">
        <f>C80/B80</f>
        <v>1.212953</v>
      </c>
      <c r="E80" s="78">
        <f>B80-C80</f>
        <v>-29813.42</v>
      </c>
      <c r="F80" s="78"/>
      <c r="G80" s="93"/>
      <c r="H80" s="78"/>
      <c r="I80" s="78"/>
      <c r="J80" s="91">
        <f>C80/31</f>
        <v>5477.852258</v>
      </c>
      <c r="K80" s="118"/>
      <c r="L80" s="13"/>
    </row>
    <row r="81">
      <c r="A81" s="119" t="s">
        <v>98</v>
      </c>
      <c r="B81" s="120">
        <v>44470.0</v>
      </c>
      <c r="C81" s="120">
        <v>44471.0</v>
      </c>
      <c r="D81" s="120">
        <v>44472.0</v>
      </c>
      <c r="E81" s="120">
        <v>44473.0</v>
      </c>
      <c r="F81" s="120">
        <v>44474.0</v>
      </c>
      <c r="G81" s="120">
        <v>44475.0</v>
      </c>
      <c r="H81" s="120">
        <v>44476.0</v>
      </c>
      <c r="I81" s="120">
        <v>44477.0</v>
      </c>
      <c r="J81" s="120">
        <v>44478.0</v>
      </c>
      <c r="K81" s="120">
        <v>44479.0</v>
      </c>
      <c r="L81" s="120">
        <v>44480.0</v>
      </c>
      <c r="M81" s="120">
        <v>44481.0</v>
      </c>
      <c r="N81" s="120">
        <v>44482.0</v>
      </c>
      <c r="O81" s="120">
        <v>44483.0</v>
      </c>
      <c r="P81" s="120">
        <v>44484.0</v>
      </c>
      <c r="Q81" s="120">
        <v>44485.0</v>
      </c>
      <c r="R81" s="120">
        <v>44486.0</v>
      </c>
      <c r="S81" s="120">
        <v>44487.0</v>
      </c>
      <c r="T81" s="120">
        <v>44488.0</v>
      </c>
      <c r="U81" s="120">
        <v>44489.0</v>
      </c>
      <c r="V81" s="120">
        <v>44490.0</v>
      </c>
      <c r="W81" s="120">
        <v>44491.0</v>
      </c>
      <c r="X81" s="120">
        <v>44492.0</v>
      </c>
      <c r="Y81" s="120">
        <v>44493.0</v>
      </c>
      <c r="Z81" s="120">
        <v>44494.0</v>
      </c>
      <c r="AA81" s="120">
        <v>44495.0</v>
      </c>
      <c r="AB81" s="120">
        <v>44496.0</v>
      </c>
      <c r="AC81" s="120">
        <v>44497.0</v>
      </c>
      <c r="AD81" s="120">
        <v>44498.0</v>
      </c>
      <c r="AE81" s="120">
        <v>44499.0</v>
      </c>
      <c r="AF81" s="120">
        <v>44500.0</v>
      </c>
    </row>
    <row r="82">
      <c r="A82" s="121" t="s">
        <v>93</v>
      </c>
      <c r="B82" s="122">
        <v>4.0</v>
      </c>
      <c r="C82" s="122">
        <v>3.0</v>
      </c>
      <c r="D82" s="122">
        <v>2.0</v>
      </c>
      <c r="E82" s="122">
        <v>3.0</v>
      </c>
      <c r="F82" s="122">
        <v>1.0</v>
      </c>
      <c r="G82" s="122">
        <v>5.0</v>
      </c>
      <c r="H82" s="122">
        <v>5.0</v>
      </c>
      <c r="I82" s="122">
        <v>1.0</v>
      </c>
      <c r="J82" s="122">
        <v>1.0</v>
      </c>
      <c r="K82" s="122">
        <v>1.0</v>
      </c>
      <c r="L82" s="122">
        <v>7.0</v>
      </c>
      <c r="M82" s="122">
        <v>5.0</v>
      </c>
      <c r="N82" s="122">
        <v>4.0</v>
      </c>
      <c r="O82" s="122">
        <v>1.0</v>
      </c>
      <c r="P82" s="122">
        <v>5.0</v>
      </c>
      <c r="Q82" s="122">
        <v>4.0</v>
      </c>
      <c r="R82" s="122">
        <v>4.0</v>
      </c>
      <c r="S82" s="122">
        <v>3.0</v>
      </c>
      <c r="T82" s="122">
        <v>8.0</v>
      </c>
      <c r="U82" s="122">
        <v>8.0</v>
      </c>
      <c r="V82" s="122">
        <v>4.0</v>
      </c>
      <c r="W82" s="122">
        <v>4.0</v>
      </c>
      <c r="X82" s="122">
        <v>0.0</v>
      </c>
      <c r="Y82" s="122">
        <v>6.0</v>
      </c>
      <c r="Z82" s="122">
        <v>3.0</v>
      </c>
      <c r="AA82" s="122">
        <v>4.0</v>
      </c>
      <c r="AB82" s="122">
        <v>0.0</v>
      </c>
      <c r="AC82" s="122">
        <v>1.0</v>
      </c>
      <c r="AD82" s="122">
        <v>6.0</v>
      </c>
      <c r="AE82" s="122">
        <v>3.0</v>
      </c>
      <c r="AF82" s="122">
        <v>3.0</v>
      </c>
    </row>
    <row r="83">
      <c r="A83" s="121" t="s">
        <v>94</v>
      </c>
      <c r="B83" s="123">
        <f t="shared" ref="B83:AF83" si="16">IFERROR(B84/B82,"-")</f>
        <v>1592.525</v>
      </c>
      <c r="C83" s="123">
        <f t="shared" si="16"/>
        <v>1443.67</v>
      </c>
      <c r="D83" s="123">
        <f t="shared" si="16"/>
        <v>2627.735</v>
      </c>
      <c r="E83" s="123">
        <f t="shared" si="16"/>
        <v>1187.126667</v>
      </c>
      <c r="F83" s="123">
        <f t="shared" si="16"/>
        <v>5707.73</v>
      </c>
      <c r="G83" s="123">
        <f t="shared" si="16"/>
        <v>1093.9</v>
      </c>
      <c r="H83" s="123">
        <f t="shared" si="16"/>
        <v>1070.6</v>
      </c>
      <c r="I83" s="123">
        <f t="shared" si="16"/>
        <v>6092.33</v>
      </c>
      <c r="J83" s="123">
        <f t="shared" si="16"/>
        <v>5187.61</v>
      </c>
      <c r="K83" s="123">
        <f t="shared" si="16"/>
        <v>6846.72</v>
      </c>
      <c r="L83" s="123">
        <f t="shared" si="16"/>
        <v>1084.552857</v>
      </c>
      <c r="M83" s="123">
        <f t="shared" si="16"/>
        <v>1186.072</v>
      </c>
      <c r="N83" s="123">
        <f t="shared" si="16"/>
        <v>1681.6975</v>
      </c>
      <c r="O83" s="123">
        <f t="shared" si="16"/>
        <v>4277.5</v>
      </c>
      <c r="P83" s="123">
        <f t="shared" si="16"/>
        <v>1218.9</v>
      </c>
      <c r="Q83" s="123">
        <f t="shared" si="16"/>
        <v>1385.1525</v>
      </c>
      <c r="R83" s="123">
        <f t="shared" si="16"/>
        <v>1460.785</v>
      </c>
      <c r="S83" s="123">
        <f t="shared" si="16"/>
        <v>2040.226667</v>
      </c>
      <c r="T83" s="123">
        <f t="shared" si="16"/>
        <v>755.725</v>
      </c>
      <c r="U83" s="123">
        <f t="shared" si="16"/>
        <v>742.24375</v>
      </c>
      <c r="V83" s="123">
        <f t="shared" si="16"/>
        <v>1531.2675</v>
      </c>
      <c r="W83" s="123">
        <f t="shared" si="16"/>
        <v>1383.0575</v>
      </c>
      <c r="X83" s="123" t="str">
        <f t="shared" si="16"/>
        <v>-</v>
      </c>
      <c r="Y83" s="123">
        <f t="shared" si="16"/>
        <v>612.0183333</v>
      </c>
      <c r="Z83" s="123">
        <f t="shared" si="16"/>
        <v>2066.336667</v>
      </c>
      <c r="AA83" s="123">
        <f t="shared" si="16"/>
        <v>1512.6975</v>
      </c>
      <c r="AB83" s="123" t="str">
        <f t="shared" si="16"/>
        <v>-</v>
      </c>
      <c r="AC83" s="123">
        <f t="shared" si="16"/>
        <v>6047.9</v>
      </c>
      <c r="AD83" s="123">
        <f t="shared" si="16"/>
        <v>647.8116667</v>
      </c>
      <c r="AE83" s="123">
        <f t="shared" si="16"/>
        <v>1364.236667</v>
      </c>
      <c r="AF83" s="123">
        <f t="shared" si="16"/>
        <v>1317.203333</v>
      </c>
    </row>
    <row r="84">
      <c r="A84" s="121" t="s">
        <v>99</v>
      </c>
      <c r="B84" s="122">
        <v>6370.1</v>
      </c>
      <c r="C84" s="122">
        <v>4331.01</v>
      </c>
      <c r="D84" s="122">
        <v>5255.47</v>
      </c>
      <c r="E84" s="122">
        <v>3561.38</v>
      </c>
      <c r="F84" s="122">
        <v>5707.73</v>
      </c>
      <c r="G84" s="122">
        <v>5469.5</v>
      </c>
      <c r="H84" s="122">
        <v>5353.0</v>
      </c>
      <c r="I84" s="122">
        <v>6092.33</v>
      </c>
      <c r="J84" s="122">
        <v>5187.61</v>
      </c>
      <c r="K84" s="122">
        <v>6846.72</v>
      </c>
      <c r="L84" s="122">
        <v>7591.87</v>
      </c>
      <c r="M84" s="122">
        <v>5930.36</v>
      </c>
      <c r="N84" s="122">
        <v>6726.79</v>
      </c>
      <c r="O84" s="122">
        <v>4277.5</v>
      </c>
      <c r="P84" s="122">
        <v>6094.5</v>
      </c>
      <c r="Q84" s="122">
        <v>5540.61</v>
      </c>
      <c r="R84" s="122">
        <v>5843.14</v>
      </c>
      <c r="S84" s="122">
        <v>6120.68</v>
      </c>
      <c r="T84" s="122">
        <v>6045.8</v>
      </c>
      <c r="U84" s="122">
        <v>5937.95</v>
      </c>
      <c r="V84" s="122">
        <v>6125.07</v>
      </c>
      <c r="W84" s="122">
        <v>5532.23</v>
      </c>
      <c r="X84" s="122">
        <v>3804.54</v>
      </c>
      <c r="Y84" s="122">
        <v>3672.11</v>
      </c>
      <c r="Z84" s="122">
        <v>6199.01</v>
      </c>
      <c r="AA84" s="122">
        <v>6050.79</v>
      </c>
      <c r="AB84" s="122">
        <v>6166.53</v>
      </c>
      <c r="AC84" s="122">
        <v>6047.9</v>
      </c>
      <c r="AD84" s="122">
        <v>3886.87</v>
      </c>
      <c r="AE84" s="122">
        <v>4092.71</v>
      </c>
      <c r="AF84" s="122">
        <v>3951.61</v>
      </c>
    </row>
    <row r="85">
      <c r="A85" s="51"/>
      <c r="B85" s="87"/>
      <c r="C85" s="85"/>
      <c r="D85" s="85"/>
      <c r="E85" s="85"/>
      <c r="F85" s="85"/>
      <c r="G85" s="85"/>
      <c r="H85" s="85"/>
      <c r="I85" s="85"/>
      <c r="J85" s="85"/>
      <c r="K85" s="51"/>
      <c r="L85" s="51"/>
    </row>
    <row r="86">
      <c r="A86" s="26" t="s">
        <v>106</v>
      </c>
      <c r="B86" s="27" t="s">
        <v>1</v>
      </c>
      <c r="C86" s="28" t="s">
        <v>2</v>
      </c>
      <c r="D86" s="28" t="s">
        <v>3</v>
      </c>
      <c r="E86" s="28" t="s">
        <v>4</v>
      </c>
      <c r="F86" s="29" t="s">
        <v>5</v>
      </c>
      <c r="G86" s="29" t="s">
        <v>6</v>
      </c>
      <c r="H86" s="28" t="s">
        <v>7</v>
      </c>
      <c r="I86" s="28" t="s">
        <v>8</v>
      </c>
      <c r="J86" s="29" t="s">
        <v>10</v>
      </c>
      <c r="K86" s="16"/>
      <c r="L86" s="51"/>
    </row>
    <row r="87">
      <c r="A87" s="112" t="s">
        <v>93</v>
      </c>
      <c r="B87" s="113">
        <v>5.0</v>
      </c>
      <c r="C87" s="78">
        <f>SUM(B91:AF91)</f>
        <v>4</v>
      </c>
      <c r="D87" s="93">
        <f>C87/B87</f>
        <v>0.8</v>
      </c>
      <c r="E87" s="91">
        <f>B87-C87</f>
        <v>1</v>
      </c>
      <c r="F87" s="78"/>
      <c r="G87" s="124"/>
      <c r="H87" s="78"/>
      <c r="I87" s="114"/>
      <c r="J87" s="115">
        <f>C87/31</f>
        <v>0.1290322581</v>
      </c>
      <c r="K87" s="13"/>
      <c r="L87" s="13"/>
    </row>
    <row r="88">
      <c r="A88" s="112" t="s">
        <v>94</v>
      </c>
      <c r="B88" s="78">
        <f>B89/B87</f>
        <v>2000</v>
      </c>
      <c r="C88" s="132">
        <f>IFERROR(C89/C87,"-")</f>
        <v>2662.26</v>
      </c>
      <c r="D88" s="93"/>
      <c r="E88" s="84"/>
      <c r="F88" s="132"/>
      <c r="G88" s="134"/>
      <c r="H88" s="79"/>
      <c r="I88" s="78"/>
      <c r="J88" s="116"/>
      <c r="K88" s="13"/>
      <c r="L88" s="13"/>
    </row>
    <row r="89">
      <c r="A89" s="112" t="s">
        <v>95</v>
      </c>
      <c r="B89" s="113">
        <v>10000.0</v>
      </c>
      <c r="C89" s="78">
        <f>SUM(B93:AF93)</f>
        <v>10649.04</v>
      </c>
      <c r="D89" s="93">
        <f>C89/B89</f>
        <v>1.064904</v>
      </c>
      <c r="E89" s="78">
        <f>B89-C89</f>
        <v>-649.04</v>
      </c>
      <c r="F89" s="78"/>
      <c r="G89" s="124"/>
      <c r="H89" s="78"/>
      <c r="I89" s="78"/>
      <c r="J89" s="91">
        <f>C89/31</f>
        <v>343.5174194</v>
      </c>
      <c r="K89" s="87"/>
      <c r="L89" s="13"/>
    </row>
    <row r="90">
      <c r="A90" s="119" t="s">
        <v>108</v>
      </c>
      <c r="B90" s="120">
        <v>44470.0</v>
      </c>
      <c r="C90" s="120">
        <v>44471.0</v>
      </c>
      <c r="D90" s="120">
        <v>44472.0</v>
      </c>
      <c r="E90" s="120">
        <v>44473.0</v>
      </c>
      <c r="F90" s="120">
        <v>44474.0</v>
      </c>
      <c r="G90" s="120">
        <v>44475.0</v>
      </c>
      <c r="H90" s="120">
        <v>44476.0</v>
      </c>
      <c r="I90" s="120">
        <v>44477.0</v>
      </c>
      <c r="J90" s="120">
        <v>44478.0</v>
      </c>
      <c r="K90" s="120">
        <v>44479.0</v>
      </c>
      <c r="L90" s="120">
        <v>44480.0</v>
      </c>
      <c r="M90" s="120">
        <v>44481.0</v>
      </c>
      <c r="N90" s="120">
        <v>44482.0</v>
      </c>
      <c r="O90" s="120">
        <v>44483.0</v>
      </c>
      <c r="P90" s="120">
        <v>44484.0</v>
      </c>
      <c r="Q90" s="120">
        <v>44485.0</v>
      </c>
      <c r="R90" s="120">
        <v>44486.0</v>
      </c>
      <c r="S90" s="120">
        <v>44487.0</v>
      </c>
      <c r="T90" s="120">
        <v>44488.0</v>
      </c>
      <c r="U90" s="120">
        <v>44489.0</v>
      </c>
      <c r="V90" s="120">
        <v>44490.0</v>
      </c>
      <c r="W90" s="120">
        <v>44491.0</v>
      </c>
      <c r="X90" s="120">
        <v>44492.0</v>
      </c>
      <c r="Y90" s="120">
        <v>44493.0</v>
      </c>
      <c r="Z90" s="120">
        <v>44494.0</v>
      </c>
      <c r="AA90" s="120">
        <v>44495.0</v>
      </c>
      <c r="AB90" s="120">
        <v>44496.0</v>
      </c>
      <c r="AC90" s="120">
        <v>44497.0</v>
      </c>
      <c r="AD90" s="120">
        <v>44498.0</v>
      </c>
      <c r="AE90" s="120">
        <v>44499.0</v>
      </c>
      <c r="AF90" s="120">
        <v>44500.0</v>
      </c>
    </row>
    <row r="91">
      <c r="A91" s="121" t="s">
        <v>93</v>
      </c>
      <c r="B91" s="122">
        <v>0.0</v>
      </c>
      <c r="C91" s="122">
        <v>0.0</v>
      </c>
      <c r="D91" s="122">
        <v>0.0</v>
      </c>
      <c r="E91" s="122">
        <v>0.0</v>
      </c>
      <c r="F91" s="122">
        <v>0.0</v>
      </c>
      <c r="G91" s="122">
        <v>0.0</v>
      </c>
      <c r="H91" s="122">
        <v>0.0</v>
      </c>
      <c r="I91" s="122">
        <v>0.0</v>
      </c>
      <c r="J91" s="122">
        <v>0.0</v>
      </c>
      <c r="K91" s="122">
        <v>0.0</v>
      </c>
      <c r="L91" s="122">
        <v>1.0</v>
      </c>
      <c r="M91" s="122">
        <v>0.0</v>
      </c>
      <c r="N91" s="122">
        <v>0.0</v>
      </c>
      <c r="O91" s="122">
        <v>1.0</v>
      </c>
      <c r="P91" s="122">
        <v>1.0</v>
      </c>
      <c r="Q91" s="122">
        <v>0.0</v>
      </c>
      <c r="R91" s="122">
        <v>0.0</v>
      </c>
      <c r="S91" s="122">
        <v>0.0</v>
      </c>
      <c r="T91" s="122">
        <v>0.0</v>
      </c>
      <c r="U91" s="122">
        <v>0.0</v>
      </c>
      <c r="V91" s="122">
        <v>0.0</v>
      </c>
      <c r="W91" s="122">
        <v>1.0</v>
      </c>
      <c r="X91" s="122">
        <v>0.0</v>
      </c>
      <c r="Y91" s="122">
        <v>0.0</v>
      </c>
      <c r="Z91" s="122">
        <v>0.0</v>
      </c>
      <c r="AA91" s="122">
        <v>0.0</v>
      </c>
      <c r="AB91" s="122">
        <v>0.0</v>
      </c>
      <c r="AC91" s="122">
        <v>0.0</v>
      </c>
      <c r="AD91" s="122">
        <v>0.0</v>
      </c>
      <c r="AE91" s="122">
        <v>0.0</v>
      </c>
      <c r="AF91" s="122">
        <v>0.0</v>
      </c>
    </row>
    <row r="92">
      <c r="A92" s="121" t="s">
        <v>94</v>
      </c>
      <c r="B92" s="123" t="str">
        <f t="shared" ref="B92:AF92" si="17">IFERROR(B93/B91,"-")</f>
        <v>-</v>
      </c>
      <c r="C92" s="123" t="str">
        <f t="shared" si="17"/>
        <v>-</v>
      </c>
      <c r="D92" s="123" t="str">
        <f t="shared" si="17"/>
        <v>-</v>
      </c>
      <c r="E92" s="123" t="str">
        <f t="shared" si="17"/>
        <v>-</v>
      </c>
      <c r="F92" s="123" t="str">
        <f t="shared" si="17"/>
        <v>-</v>
      </c>
      <c r="G92" s="123" t="str">
        <f t="shared" si="17"/>
        <v>-</v>
      </c>
      <c r="H92" s="123" t="str">
        <f t="shared" si="17"/>
        <v>-</v>
      </c>
      <c r="I92" s="123" t="str">
        <f t="shared" si="17"/>
        <v>-</v>
      </c>
      <c r="J92" s="123" t="str">
        <f t="shared" si="17"/>
        <v>-</v>
      </c>
      <c r="K92" s="123" t="str">
        <f t="shared" si="17"/>
        <v>-</v>
      </c>
      <c r="L92" s="123">
        <f t="shared" si="17"/>
        <v>1920</v>
      </c>
      <c r="M92" s="123" t="str">
        <f t="shared" si="17"/>
        <v>-</v>
      </c>
      <c r="N92" s="123" t="str">
        <f t="shared" si="17"/>
        <v>-</v>
      </c>
      <c r="O92" s="123">
        <f t="shared" si="17"/>
        <v>1920</v>
      </c>
      <c r="P92" s="123">
        <f t="shared" si="17"/>
        <v>342.5</v>
      </c>
      <c r="Q92" s="123" t="str">
        <f t="shared" si="17"/>
        <v>-</v>
      </c>
      <c r="R92" s="123" t="str">
        <f t="shared" si="17"/>
        <v>-</v>
      </c>
      <c r="S92" s="123" t="str">
        <f t="shared" si="17"/>
        <v>-</v>
      </c>
      <c r="T92" s="123" t="str">
        <f t="shared" si="17"/>
        <v>-</v>
      </c>
      <c r="U92" s="123" t="str">
        <f t="shared" si="17"/>
        <v>-</v>
      </c>
      <c r="V92" s="123" t="str">
        <f t="shared" si="17"/>
        <v>-</v>
      </c>
      <c r="W92" s="123">
        <f t="shared" si="17"/>
        <v>426.42</v>
      </c>
      <c r="X92" s="123" t="str">
        <f t="shared" si="17"/>
        <v>-</v>
      </c>
      <c r="Y92" s="123" t="str">
        <f t="shared" si="17"/>
        <v>-</v>
      </c>
      <c r="Z92" s="123" t="str">
        <f t="shared" si="17"/>
        <v>-</v>
      </c>
      <c r="AA92" s="123" t="str">
        <f t="shared" si="17"/>
        <v>-</v>
      </c>
      <c r="AB92" s="123" t="str">
        <f t="shared" si="17"/>
        <v>-</v>
      </c>
      <c r="AC92" s="123" t="str">
        <f t="shared" si="17"/>
        <v>-</v>
      </c>
      <c r="AD92" s="123" t="str">
        <f t="shared" si="17"/>
        <v>-</v>
      </c>
      <c r="AE92" s="123" t="str">
        <f t="shared" si="17"/>
        <v>-</v>
      </c>
      <c r="AF92" s="123" t="str">
        <f t="shared" si="17"/>
        <v>-</v>
      </c>
    </row>
    <row r="93">
      <c r="A93" s="121" t="s">
        <v>99</v>
      </c>
      <c r="B93" s="122">
        <v>0.0</v>
      </c>
      <c r="C93" s="122">
        <v>0.0</v>
      </c>
      <c r="D93" s="122">
        <v>0.0</v>
      </c>
      <c r="E93" s="122">
        <v>0.0</v>
      </c>
      <c r="F93" s="122">
        <v>0.0</v>
      </c>
      <c r="G93" s="122">
        <v>0.0</v>
      </c>
      <c r="H93" s="122">
        <v>0.0</v>
      </c>
      <c r="I93" s="122">
        <v>0.0</v>
      </c>
      <c r="J93" s="122">
        <v>0.0</v>
      </c>
      <c r="K93" s="122">
        <v>0.0</v>
      </c>
      <c r="L93" s="122">
        <v>1920.0</v>
      </c>
      <c r="M93" s="122">
        <v>0.0</v>
      </c>
      <c r="N93" s="122">
        <v>0.0</v>
      </c>
      <c r="O93" s="122">
        <v>1920.0</v>
      </c>
      <c r="P93" s="122">
        <v>342.5</v>
      </c>
      <c r="Q93" s="122">
        <v>210.6</v>
      </c>
      <c r="R93" s="122">
        <v>220.78</v>
      </c>
      <c r="S93" s="122">
        <v>702.48</v>
      </c>
      <c r="T93" s="122">
        <v>679.84</v>
      </c>
      <c r="U93" s="122">
        <v>720.64</v>
      </c>
      <c r="V93" s="122">
        <v>349.57</v>
      </c>
      <c r="W93" s="122">
        <v>426.42</v>
      </c>
      <c r="X93" s="122">
        <v>556.07</v>
      </c>
      <c r="Y93" s="122">
        <v>757.13</v>
      </c>
      <c r="Z93" s="122">
        <v>574.17</v>
      </c>
      <c r="AA93" s="122">
        <v>632.43</v>
      </c>
      <c r="AB93" s="122">
        <v>384.14</v>
      </c>
      <c r="AC93" s="122">
        <v>252.27</v>
      </c>
      <c r="AD93" s="122">
        <v>0.0</v>
      </c>
      <c r="AE93" s="122">
        <v>0.0</v>
      </c>
      <c r="AF93" s="122">
        <v>0.0</v>
      </c>
    </row>
    <row r="94">
      <c r="A94" s="35"/>
      <c r="B94" s="53"/>
      <c r="C94" s="53"/>
      <c r="D94" s="53"/>
      <c r="E94" s="53"/>
      <c r="F94" s="55"/>
      <c r="G94" s="55"/>
      <c r="H94" s="54"/>
      <c r="I94" s="54"/>
      <c r="J94" s="54"/>
      <c r="K94" s="54"/>
      <c r="L94" s="54"/>
    </row>
    <row r="95">
      <c r="A95" s="26" t="s">
        <v>100</v>
      </c>
      <c r="B95" s="27" t="s">
        <v>1</v>
      </c>
      <c r="C95" s="28" t="s">
        <v>2</v>
      </c>
      <c r="D95" s="28" t="s">
        <v>3</v>
      </c>
      <c r="E95" s="28" t="s">
        <v>4</v>
      </c>
      <c r="F95" s="29" t="s">
        <v>5</v>
      </c>
      <c r="G95" s="29" t="s">
        <v>6</v>
      </c>
      <c r="H95" s="28" t="s">
        <v>7</v>
      </c>
      <c r="I95" s="28" t="s">
        <v>8</v>
      </c>
      <c r="J95" s="29" t="s">
        <v>10</v>
      </c>
      <c r="K95" s="16"/>
      <c r="L95" s="51"/>
    </row>
    <row r="96">
      <c r="A96" s="112" t="s">
        <v>93</v>
      </c>
      <c r="B96" s="113">
        <v>90.0</v>
      </c>
      <c r="C96" s="78">
        <f>SUM(B100:AF100)</f>
        <v>61</v>
      </c>
      <c r="D96" s="93">
        <f>C96/B96</f>
        <v>0.6777777778</v>
      </c>
      <c r="E96" s="91">
        <f>B96-C96</f>
        <v>29</v>
      </c>
      <c r="F96" s="78"/>
      <c r="G96" s="124"/>
      <c r="H96" s="78"/>
      <c r="I96" s="114"/>
      <c r="J96" s="115">
        <f>C96/31</f>
        <v>1.967741935</v>
      </c>
      <c r="K96" s="79"/>
      <c r="L96" s="79"/>
    </row>
    <row r="97">
      <c r="A97" s="112" t="s">
        <v>94</v>
      </c>
      <c r="B97" s="78">
        <f>B98/B96</f>
        <v>1200</v>
      </c>
      <c r="C97" s="132">
        <f>IFERROR(C98/C96,"-")</f>
        <v>1870.870492</v>
      </c>
      <c r="D97" s="93"/>
      <c r="E97" s="79"/>
      <c r="F97" s="78"/>
      <c r="G97" s="93"/>
      <c r="H97" s="79"/>
      <c r="I97" s="78"/>
      <c r="J97" s="116"/>
      <c r="K97" s="79"/>
      <c r="L97" s="79"/>
    </row>
    <row r="98">
      <c r="A98" s="112" t="s">
        <v>95</v>
      </c>
      <c r="B98" s="113">
        <v>108000.0</v>
      </c>
      <c r="C98" s="78">
        <f>SUM(B102:AF102)+220</f>
        <v>114123.1</v>
      </c>
      <c r="D98" s="93">
        <f>C98/B98</f>
        <v>1.05669537</v>
      </c>
      <c r="E98" s="78">
        <f>B98-C98</f>
        <v>-6123.1</v>
      </c>
      <c r="F98" s="78"/>
      <c r="G98" s="124"/>
      <c r="H98" s="78"/>
      <c r="I98" s="78"/>
      <c r="J98" s="91">
        <f>C98/31</f>
        <v>3681.390323</v>
      </c>
      <c r="K98" s="79"/>
      <c r="L98" s="79"/>
    </row>
    <row r="99">
      <c r="A99" s="119" t="s">
        <v>101</v>
      </c>
      <c r="B99" s="120">
        <v>44470.0</v>
      </c>
      <c r="C99" s="120">
        <v>44471.0</v>
      </c>
      <c r="D99" s="120">
        <v>44472.0</v>
      </c>
      <c r="E99" s="120">
        <v>44473.0</v>
      </c>
      <c r="F99" s="120">
        <v>44474.0</v>
      </c>
      <c r="G99" s="120">
        <v>44475.0</v>
      </c>
      <c r="H99" s="120">
        <v>44476.0</v>
      </c>
      <c r="I99" s="120">
        <v>44477.0</v>
      </c>
      <c r="J99" s="120">
        <v>44478.0</v>
      </c>
      <c r="K99" s="120">
        <v>44479.0</v>
      </c>
      <c r="L99" s="120">
        <v>44480.0</v>
      </c>
      <c r="M99" s="120">
        <v>44481.0</v>
      </c>
      <c r="N99" s="120">
        <v>44482.0</v>
      </c>
      <c r="O99" s="120">
        <v>44483.0</v>
      </c>
      <c r="P99" s="120">
        <v>44484.0</v>
      </c>
      <c r="Q99" s="120">
        <v>44485.0</v>
      </c>
      <c r="R99" s="120">
        <v>44486.0</v>
      </c>
      <c r="S99" s="120">
        <v>44487.0</v>
      </c>
      <c r="T99" s="120">
        <v>44488.0</v>
      </c>
      <c r="U99" s="120">
        <v>44489.0</v>
      </c>
      <c r="V99" s="120">
        <v>44490.0</v>
      </c>
      <c r="W99" s="120">
        <v>44491.0</v>
      </c>
      <c r="X99" s="120">
        <v>44492.0</v>
      </c>
      <c r="Y99" s="120">
        <v>44493.0</v>
      </c>
      <c r="Z99" s="120">
        <v>44494.0</v>
      </c>
      <c r="AA99" s="120">
        <v>44495.0</v>
      </c>
      <c r="AB99" s="120">
        <v>44496.0</v>
      </c>
      <c r="AC99" s="120">
        <v>44497.0</v>
      </c>
      <c r="AD99" s="120">
        <v>44498.0</v>
      </c>
      <c r="AE99" s="120">
        <v>44499.0</v>
      </c>
      <c r="AF99" s="120">
        <v>44500.0</v>
      </c>
    </row>
    <row r="100">
      <c r="A100" s="121" t="s">
        <v>93</v>
      </c>
      <c r="B100" s="122">
        <v>2.0</v>
      </c>
      <c r="C100" s="122">
        <v>1.0</v>
      </c>
      <c r="D100" s="122">
        <v>1.0</v>
      </c>
      <c r="E100" s="122">
        <v>5.0</v>
      </c>
      <c r="F100" s="122">
        <v>1.0</v>
      </c>
      <c r="G100" s="122">
        <v>3.0</v>
      </c>
      <c r="H100" s="122">
        <v>0.0</v>
      </c>
      <c r="I100" s="122">
        <v>0.0</v>
      </c>
      <c r="J100" s="122">
        <v>2.0</v>
      </c>
      <c r="K100" s="122">
        <v>2.0</v>
      </c>
      <c r="L100" s="122">
        <v>0.0</v>
      </c>
      <c r="M100" s="122">
        <v>6.0</v>
      </c>
      <c r="N100" s="122">
        <v>6.0</v>
      </c>
      <c r="O100" s="122">
        <v>1.0</v>
      </c>
      <c r="P100" s="122">
        <v>2.0</v>
      </c>
      <c r="Q100" s="122">
        <v>3.0</v>
      </c>
      <c r="R100" s="122">
        <v>1.0</v>
      </c>
      <c r="S100" s="122">
        <v>3.0</v>
      </c>
      <c r="T100" s="122">
        <v>2.0</v>
      </c>
      <c r="U100" s="122">
        <v>2.0</v>
      </c>
      <c r="V100" s="122">
        <v>1.0</v>
      </c>
      <c r="W100" s="122">
        <v>1.0</v>
      </c>
      <c r="X100" s="122">
        <v>1.0</v>
      </c>
      <c r="Y100" s="122">
        <v>4.0</v>
      </c>
      <c r="Z100" s="122">
        <v>5.0</v>
      </c>
      <c r="AA100" s="122">
        <v>2.0</v>
      </c>
      <c r="AB100" s="122">
        <v>3.0</v>
      </c>
      <c r="AC100" s="122">
        <v>0.0</v>
      </c>
      <c r="AD100" s="122">
        <v>0.0</v>
      </c>
      <c r="AE100" s="122">
        <v>1.0</v>
      </c>
      <c r="AF100" s="122">
        <v>0.0</v>
      </c>
    </row>
    <row r="101">
      <c r="A101" s="121" t="s">
        <v>94</v>
      </c>
      <c r="B101" s="123">
        <f t="shared" ref="B101:AF101" si="18">IFERROR(B102/B100,"-")</f>
        <v>1336.415</v>
      </c>
      <c r="C101" s="123">
        <f t="shared" si="18"/>
        <v>2700.75</v>
      </c>
      <c r="D101" s="123">
        <f t="shared" si="18"/>
        <v>1313.66</v>
      </c>
      <c r="E101" s="123">
        <f t="shared" si="18"/>
        <v>810.278</v>
      </c>
      <c r="F101" s="123">
        <f t="shared" si="18"/>
        <v>3647.62</v>
      </c>
      <c r="G101" s="123">
        <f t="shared" si="18"/>
        <v>817.24</v>
      </c>
      <c r="H101" s="123" t="str">
        <f t="shared" si="18"/>
        <v>-</v>
      </c>
      <c r="I101" s="123" t="str">
        <f t="shared" si="18"/>
        <v>-</v>
      </c>
      <c r="J101" s="123">
        <f t="shared" si="18"/>
        <v>424.665</v>
      </c>
      <c r="K101" s="123">
        <f t="shared" si="18"/>
        <v>1302.185</v>
      </c>
      <c r="L101" s="123" t="str">
        <f t="shared" si="18"/>
        <v>-</v>
      </c>
      <c r="M101" s="123">
        <f t="shared" si="18"/>
        <v>771.74</v>
      </c>
      <c r="N101" s="123">
        <f t="shared" si="18"/>
        <v>718.54</v>
      </c>
      <c r="O101" s="123">
        <f t="shared" si="18"/>
        <v>1598.55</v>
      </c>
      <c r="P101" s="123">
        <f t="shared" si="18"/>
        <v>1175.785</v>
      </c>
      <c r="Q101" s="123">
        <f t="shared" si="18"/>
        <v>925.14</v>
      </c>
      <c r="R101" s="123">
        <f t="shared" si="18"/>
        <v>3551.07</v>
      </c>
      <c r="S101" s="123">
        <f t="shared" si="18"/>
        <v>2016.506667</v>
      </c>
      <c r="T101" s="123">
        <f t="shared" si="18"/>
        <v>2667.66</v>
      </c>
      <c r="U101" s="123">
        <f t="shared" si="18"/>
        <v>2924.58</v>
      </c>
      <c r="V101" s="123">
        <f t="shared" si="18"/>
        <v>6331.61</v>
      </c>
      <c r="W101" s="123">
        <f t="shared" si="18"/>
        <v>5569.22</v>
      </c>
      <c r="X101" s="123">
        <f t="shared" si="18"/>
        <v>4775.53</v>
      </c>
      <c r="Y101" s="123">
        <f t="shared" si="18"/>
        <v>1158.465</v>
      </c>
      <c r="Z101" s="123">
        <f t="shared" si="18"/>
        <v>1392.75</v>
      </c>
      <c r="AA101" s="123">
        <f t="shared" si="18"/>
        <v>2082.49</v>
      </c>
      <c r="AB101" s="123">
        <f t="shared" si="18"/>
        <v>1720.306667</v>
      </c>
      <c r="AC101" s="123" t="str">
        <f t="shared" si="18"/>
        <v>-</v>
      </c>
      <c r="AD101" s="123" t="str">
        <f t="shared" si="18"/>
        <v>-</v>
      </c>
      <c r="AE101" s="123">
        <f t="shared" si="18"/>
        <v>3206.61</v>
      </c>
      <c r="AF101" s="123" t="str">
        <f t="shared" si="18"/>
        <v>-</v>
      </c>
    </row>
    <row r="102">
      <c r="A102" s="121" t="s">
        <v>99</v>
      </c>
      <c r="B102" s="122">
        <v>2672.83</v>
      </c>
      <c r="C102" s="122">
        <v>2700.75</v>
      </c>
      <c r="D102" s="122">
        <v>1313.66</v>
      </c>
      <c r="E102" s="122">
        <v>4051.39</v>
      </c>
      <c r="F102" s="122">
        <v>3647.62</v>
      </c>
      <c r="G102" s="122">
        <v>2451.72</v>
      </c>
      <c r="H102" s="122">
        <v>3167.17</v>
      </c>
      <c r="I102" s="122">
        <v>1838.63</v>
      </c>
      <c r="J102" s="122">
        <v>849.33</v>
      </c>
      <c r="K102" s="122">
        <v>2604.37</v>
      </c>
      <c r="L102" s="122">
        <v>3756.95</v>
      </c>
      <c r="M102" s="122">
        <v>4630.44</v>
      </c>
      <c r="N102" s="122">
        <v>4311.24</v>
      </c>
      <c r="O102" s="122">
        <v>1598.55</v>
      </c>
      <c r="P102" s="122">
        <v>2351.57</v>
      </c>
      <c r="Q102" s="122">
        <v>2775.42</v>
      </c>
      <c r="R102" s="122">
        <v>3551.07</v>
      </c>
      <c r="S102" s="122">
        <v>6049.52</v>
      </c>
      <c r="T102" s="122">
        <v>5335.32</v>
      </c>
      <c r="U102" s="122">
        <v>5849.16</v>
      </c>
      <c r="V102" s="122">
        <v>6331.61</v>
      </c>
      <c r="W102" s="122">
        <v>5569.22</v>
      </c>
      <c r="X102" s="122">
        <v>4775.53</v>
      </c>
      <c r="Y102" s="122">
        <v>4633.86</v>
      </c>
      <c r="Z102" s="122">
        <v>6963.75</v>
      </c>
      <c r="AA102" s="122">
        <v>4164.98</v>
      </c>
      <c r="AB102" s="122">
        <v>5160.92</v>
      </c>
      <c r="AC102" s="122">
        <v>3058.27</v>
      </c>
      <c r="AD102" s="122">
        <v>2158.85</v>
      </c>
      <c r="AE102" s="122">
        <v>3206.61</v>
      </c>
      <c r="AF102" s="122">
        <v>2372.79</v>
      </c>
    </row>
    <row r="103">
      <c r="A103" s="105"/>
      <c r="B103" s="9"/>
      <c r="C103" s="8"/>
      <c r="D103" s="10"/>
      <c r="E103" s="9"/>
      <c r="F103" s="9"/>
      <c r="G103" s="10"/>
      <c r="H103" s="9"/>
      <c r="I103" s="106"/>
      <c r="J103" s="46"/>
      <c r="K103" s="107"/>
      <c r="M103" s="91"/>
      <c r="N103" s="108"/>
    </row>
    <row r="104">
      <c r="A104" s="105"/>
      <c r="B104" s="9"/>
      <c r="C104" s="8"/>
      <c r="D104" s="10"/>
      <c r="E104" s="9"/>
      <c r="F104" s="9"/>
      <c r="G104" s="10"/>
      <c r="H104" s="9"/>
      <c r="I104" s="106"/>
      <c r="J104" s="46"/>
      <c r="K104" s="107"/>
      <c r="M104" s="91"/>
      <c r="N104" s="108"/>
    </row>
    <row r="105">
      <c r="A105" s="105"/>
      <c r="B105" s="9"/>
      <c r="C105" s="9"/>
      <c r="D105" s="10"/>
      <c r="E105" s="9"/>
      <c r="F105" s="9"/>
      <c r="G105" s="10"/>
      <c r="H105" s="9"/>
      <c r="I105" s="106"/>
      <c r="J105" s="46"/>
      <c r="K105" s="107"/>
      <c r="M105" s="91"/>
      <c r="N105" s="108"/>
    </row>
    <row r="106">
      <c r="A106" s="105"/>
      <c r="B106" s="9"/>
      <c r="C106" s="9"/>
      <c r="D106" s="10"/>
      <c r="E106" s="9"/>
      <c r="F106" s="9"/>
      <c r="G106" s="10"/>
      <c r="H106" s="9"/>
      <c r="I106" s="106"/>
      <c r="J106" s="46"/>
      <c r="K106" s="107"/>
      <c r="M106" s="91"/>
      <c r="N106" s="108"/>
    </row>
    <row r="107">
      <c r="A107" s="100" t="s">
        <v>104</v>
      </c>
      <c r="B107" s="101" t="s">
        <v>1</v>
      </c>
      <c r="C107" s="102" t="s">
        <v>2</v>
      </c>
      <c r="D107" s="127" t="s">
        <v>3</v>
      </c>
      <c r="E107" s="102" t="s">
        <v>4</v>
      </c>
      <c r="F107" s="103" t="s">
        <v>5</v>
      </c>
      <c r="G107" s="103" t="s">
        <v>6</v>
      </c>
      <c r="H107" s="104" t="s">
        <v>7</v>
      </c>
      <c r="I107" s="104" t="s">
        <v>8</v>
      </c>
      <c r="J107" s="103" t="s">
        <v>10</v>
      </c>
      <c r="K107" s="107"/>
      <c r="M107" s="91"/>
      <c r="N107" s="108"/>
    </row>
    <row r="108">
      <c r="A108" s="105" t="s">
        <v>93</v>
      </c>
      <c r="B108" s="9">
        <f t="shared" ref="B108:C108" si="19">B114+B123+B132</f>
        <v>225</v>
      </c>
      <c r="C108" s="9">
        <f t="shared" si="19"/>
        <v>178</v>
      </c>
      <c r="D108" s="10">
        <f>C108/B108</f>
        <v>0.7911111111</v>
      </c>
      <c r="E108" s="9">
        <f>B108-C108</f>
        <v>47</v>
      </c>
      <c r="F108" s="9"/>
      <c r="G108" s="10"/>
      <c r="H108" s="9"/>
      <c r="I108" s="106"/>
      <c r="J108" s="46">
        <f>C108/30</f>
        <v>5.933333333</v>
      </c>
      <c r="K108" s="107"/>
      <c r="M108" s="91"/>
      <c r="N108" s="108"/>
    </row>
    <row r="109">
      <c r="A109" s="105" t="s">
        <v>94</v>
      </c>
      <c r="B109" s="8">
        <f t="shared" ref="B109:C109" si="20">B110/B108</f>
        <v>1173.333333</v>
      </c>
      <c r="C109" s="9">
        <f t="shared" si="20"/>
        <v>1404.294607</v>
      </c>
      <c r="D109" s="10"/>
      <c r="E109" s="109"/>
      <c r="F109" s="9"/>
      <c r="G109" s="10"/>
      <c r="H109" s="109"/>
      <c r="I109" s="109"/>
      <c r="J109" s="107"/>
      <c r="K109" s="107"/>
      <c r="M109" s="91"/>
      <c r="N109" s="108"/>
    </row>
    <row r="110">
      <c r="A110" s="105" t="s">
        <v>95</v>
      </c>
      <c r="B110" s="9">
        <f t="shared" ref="B110:C110" si="21">B116+B125+B134</f>
        <v>264000</v>
      </c>
      <c r="C110" s="9">
        <f t="shared" si="21"/>
        <v>249964.44</v>
      </c>
      <c r="D110" s="10">
        <f>C110/B110</f>
        <v>0.946835</v>
      </c>
      <c r="E110" s="9">
        <f>B110-C110</f>
        <v>14035.56</v>
      </c>
      <c r="F110" s="9"/>
      <c r="G110" s="10"/>
      <c r="H110" s="9"/>
      <c r="I110" s="19"/>
      <c r="J110" s="19">
        <f>C110/30</f>
        <v>8332.148</v>
      </c>
      <c r="K110" s="107"/>
    </row>
    <row r="112">
      <c r="A112" s="110" t="s">
        <v>96</v>
      </c>
      <c r="B112" s="22"/>
      <c r="C112" s="23"/>
      <c r="D112" s="23"/>
      <c r="E112" s="23"/>
      <c r="F112" s="23"/>
      <c r="G112" s="23"/>
      <c r="H112" s="23"/>
      <c r="I112" s="23"/>
      <c r="J112" s="23"/>
      <c r="K112" s="24"/>
      <c r="L112" s="24"/>
    </row>
    <row r="113">
      <c r="A113" s="26" t="s">
        <v>97</v>
      </c>
      <c r="B113" s="27" t="s">
        <v>1</v>
      </c>
      <c r="C113" s="28" t="s">
        <v>2</v>
      </c>
      <c r="D113" s="28" t="s">
        <v>3</v>
      </c>
      <c r="E113" s="28" t="s">
        <v>4</v>
      </c>
      <c r="F113" s="29" t="s">
        <v>5</v>
      </c>
      <c r="G113" s="29" t="s">
        <v>6</v>
      </c>
      <c r="H113" s="28" t="s">
        <v>7</v>
      </c>
      <c r="I113" s="28" t="s">
        <v>8</v>
      </c>
      <c r="J113" s="29" t="s">
        <v>10</v>
      </c>
      <c r="K113" s="16"/>
      <c r="L113" s="111"/>
    </row>
    <row r="114">
      <c r="A114" s="112" t="s">
        <v>93</v>
      </c>
      <c r="B114" s="113">
        <v>120.0</v>
      </c>
      <c r="C114" s="78">
        <f>SUM(B118:AE118)+4</f>
        <v>96</v>
      </c>
      <c r="D114" s="93">
        <f>C114/B114</f>
        <v>0.8</v>
      </c>
      <c r="E114" s="91">
        <f>B114-C114</f>
        <v>24</v>
      </c>
      <c r="F114" s="78"/>
      <c r="G114" s="93"/>
      <c r="H114" s="78"/>
      <c r="I114" s="114"/>
      <c r="J114" s="115">
        <f>C114/30</f>
        <v>3.2</v>
      </c>
      <c r="K114" s="116"/>
      <c r="L114" s="13"/>
    </row>
    <row r="115">
      <c r="A115" s="112" t="s">
        <v>94</v>
      </c>
      <c r="B115" s="78">
        <f t="shared" ref="B115:C115" si="22">B116/B114</f>
        <v>1200</v>
      </c>
      <c r="C115" s="78">
        <f t="shared" si="22"/>
        <v>1468.333854</v>
      </c>
      <c r="D115" s="93"/>
      <c r="E115" s="79"/>
      <c r="F115" s="78"/>
      <c r="G115" s="93"/>
      <c r="H115" s="116"/>
      <c r="I115" s="117"/>
      <c r="J115" s="116"/>
      <c r="K115" s="116"/>
      <c r="L115" s="13"/>
    </row>
    <row r="116">
      <c r="A116" s="112" t="s">
        <v>95</v>
      </c>
      <c r="B116" s="113">
        <v>144000.0</v>
      </c>
      <c r="C116" s="78">
        <f>SUM(B120:AE120)</f>
        <v>140960.05</v>
      </c>
      <c r="D116" s="93">
        <f>C116/B116</f>
        <v>0.9788892361</v>
      </c>
      <c r="E116" s="78">
        <f>B116-C116</f>
        <v>3039.95</v>
      </c>
      <c r="F116" s="78"/>
      <c r="G116" s="93"/>
      <c r="H116" s="78"/>
      <c r="I116" s="78"/>
      <c r="J116" s="91">
        <f>C116/30</f>
        <v>4698.668333</v>
      </c>
      <c r="K116" s="118"/>
      <c r="L116" s="13"/>
    </row>
    <row r="117">
      <c r="A117" s="119" t="s">
        <v>98</v>
      </c>
      <c r="B117" s="128">
        <v>44440.0</v>
      </c>
      <c r="C117" s="128">
        <v>44441.0</v>
      </c>
      <c r="D117" s="128">
        <v>44442.0</v>
      </c>
      <c r="E117" s="128">
        <v>44443.0</v>
      </c>
      <c r="F117" s="128">
        <v>44444.0</v>
      </c>
      <c r="G117" s="128">
        <v>44445.0</v>
      </c>
      <c r="H117" s="128">
        <v>44446.0</v>
      </c>
      <c r="I117" s="128">
        <v>44447.0</v>
      </c>
      <c r="J117" s="128">
        <v>44448.0</v>
      </c>
      <c r="K117" s="128">
        <v>44449.0</v>
      </c>
      <c r="L117" s="128">
        <v>44450.0</v>
      </c>
      <c r="M117" s="128">
        <v>44451.0</v>
      </c>
      <c r="N117" s="128">
        <v>44452.0</v>
      </c>
      <c r="O117" s="128">
        <v>44453.0</v>
      </c>
      <c r="P117" s="128">
        <v>44454.0</v>
      </c>
      <c r="Q117" s="128">
        <v>44455.0</v>
      </c>
      <c r="R117" s="128">
        <v>44456.0</v>
      </c>
      <c r="S117" s="128">
        <v>44457.0</v>
      </c>
      <c r="T117" s="128">
        <v>44458.0</v>
      </c>
      <c r="U117" s="128">
        <v>44459.0</v>
      </c>
      <c r="V117" s="128">
        <v>44460.0</v>
      </c>
      <c r="W117" s="128">
        <v>44461.0</v>
      </c>
      <c r="X117" s="128">
        <v>44462.0</v>
      </c>
      <c r="Y117" s="128">
        <v>44463.0</v>
      </c>
      <c r="Z117" s="128">
        <v>44464.0</v>
      </c>
      <c r="AA117" s="128">
        <v>44465.0</v>
      </c>
      <c r="AB117" s="128">
        <v>44466.0</v>
      </c>
      <c r="AC117" s="128">
        <v>44467.0</v>
      </c>
      <c r="AD117" s="128">
        <v>44468.0</v>
      </c>
      <c r="AE117" s="128">
        <v>44469.0</v>
      </c>
      <c r="AF117" s="128"/>
    </row>
    <row r="118">
      <c r="A118" s="121" t="s">
        <v>93</v>
      </c>
      <c r="B118" s="122">
        <v>4.0</v>
      </c>
      <c r="C118" s="122">
        <v>2.0</v>
      </c>
      <c r="D118" s="122">
        <v>1.0</v>
      </c>
      <c r="E118" s="122">
        <v>4.0</v>
      </c>
      <c r="F118" s="122">
        <v>0.0</v>
      </c>
      <c r="G118" s="122">
        <v>3.0</v>
      </c>
      <c r="H118" s="122">
        <v>3.0</v>
      </c>
      <c r="I118" s="122">
        <v>5.0</v>
      </c>
      <c r="J118" s="122">
        <v>5.0</v>
      </c>
      <c r="K118" s="122">
        <v>1.0</v>
      </c>
      <c r="L118" s="122">
        <v>0.0</v>
      </c>
      <c r="M118" s="122">
        <v>2.0</v>
      </c>
      <c r="N118" s="122">
        <v>5.0</v>
      </c>
      <c r="O118" s="122">
        <v>4.0</v>
      </c>
      <c r="P118" s="122">
        <v>3.0</v>
      </c>
      <c r="Q118" s="122">
        <v>2.0</v>
      </c>
      <c r="R118" s="122">
        <v>3.0</v>
      </c>
      <c r="S118" s="122">
        <v>3.0</v>
      </c>
      <c r="T118" s="122">
        <v>2.0</v>
      </c>
      <c r="U118" s="122">
        <v>4.0</v>
      </c>
      <c r="V118" s="122">
        <v>3.0</v>
      </c>
      <c r="W118" s="122">
        <v>5.0</v>
      </c>
      <c r="X118" s="122">
        <v>3.0</v>
      </c>
      <c r="Y118" s="122">
        <v>3.0</v>
      </c>
      <c r="Z118" s="122">
        <v>5.0</v>
      </c>
      <c r="AA118" s="122">
        <v>4.0</v>
      </c>
      <c r="AB118" s="122">
        <v>3.0</v>
      </c>
      <c r="AC118" s="122">
        <v>4.0</v>
      </c>
      <c r="AD118" s="122">
        <v>2.0</v>
      </c>
      <c r="AE118" s="122">
        <v>4.0</v>
      </c>
      <c r="AF118" s="122"/>
    </row>
    <row r="119">
      <c r="A119" s="121" t="s">
        <v>94</v>
      </c>
      <c r="B119" s="123">
        <f t="shared" ref="B119:AE119" si="23">IFERROR(B120/B118,"-")</f>
        <v>980.2275</v>
      </c>
      <c r="C119" s="123">
        <f t="shared" si="23"/>
        <v>2736.88</v>
      </c>
      <c r="D119" s="123">
        <f t="shared" si="23"/>
        <v>4419.59</v>
      </c>
      <c r="E119" s="123">
        <f t="shared" si="23"/>
        <v>1211.12</v>
      </c>
      <c r="F119" s="123" t="str">
        <f t="shared" si="23"/>
        <v>-</v>
      </c>
      <c r="G119" s="123">
        <f t="shared" si="23"/>
        <v>1855.58</v>
      </c>
      <c r="H119" s="123">
        <f t="shared" si="23"/>
        <v>1837.556667</v>
      </c>
      <c r="I119" s="123">
        <f t="shared" si="23"/>
        <v>1088.83</v>
      </c>
      <c r="J119" s="123">
        <f t="shared" si="23"/>
        <v>1030.024</v>
      </c>
      <c r="K119" s="123">
        <f t="shared" si="23"/>
        <v>3983.76</v>
      </c>
      <c r="L119" s="123" t="str">
        <f t="shared" si="23"/>
        <v>-</v>
      </c>
      <c r="M119" s="123">
        <f t="shared" si="23"/>
        <v>2048.135</v>
      </c>
      <c r="N119" s="123">
        <f t="shared" si="23"/>
        <v>1059.754</v>
      </c>
      <c r="O119" s="123">
        <f t="shared" si="23"/>
        <v>1158.3175</v>
      </c>
      <c r="P119" s="123">
        <f t="shared" si="23"/>
        <v>1983.95</v>
      </c>
      <c r="Q119" s="123">
        <f t="shared" si="23"/>
        <v>2968.26</v>
      </c>
      <c r="R119" s="123">
        <f t="shared" si="23"/>
        <v>1298.713333</v>
      </c>
      <c r="S119" s="123">
        <f t="shared" si="23"/>
        <v>1248.26</v>
      </c>
      <c r="T119" s="123">
        <f t="shared" si="23"/>
        <v>1920.13</v>
      </c>
      <c r="U119" s="123">
        <f t="shared" si="23"/>
        <v>1221.1175</v>
      </c>
      <c r="V119" s="123">
        <f t="shared" si="23"/>
        <v>1367.58</v>
      </c>
      <c r="W119" s="123">
        <f t="shared" si="23"/>
        <v>1079.988</v>
      </c>
      <c r="X119" s="123">
        <f t="shared" si="23"/>
        <v>1847.603333</v>
      </c>
      <c r="Y119" s="123">
        <f t="shared" si="23"/>
        <v>1554.623333</v>
      </c>
      <c r="Z119" s="123">
        <f t="shared" si="23"/>
        <v>752.786</v>
      </c>
      <c r="AA119" s="123">
        <f t="shared" si="23"/>
        <v>1315.335</v>
      </c>
      <c r="AB119" s="123">
        <f t="shared" si="23"/>
        <v>1339.523333</v>
      </c>
      <c r="AC119" s="123">
        <f t="shared" si="23"/>
        <v>1167.31</v>
      </c>
      <c r="AD119" s="123">
        <f t="shared" si="23"/>
        <v>2689.6</v>
      </c>
      <c r="AE119" s="123">
        <f t="shared" si="23"/>
        <v>1030.2675</v>
      </c>
      <c r="AF119" s="123"/>
    </row>
    <row r="120">
      <c r="A120" s="121" t="s">
        <v>99</v>
      </c>
      <c r="B120" s="122">
        <v>3920.91</v>
      </c>
      <c r="C120" s="122">
        <v>5473.76</v>
      </c>
      <c r="D120" s="122">
        <v>4419.59</v>
      </c>
      <c r="E120" s="122">
        <v>4844.48</v>
      </c>
      <c r="F120" s="122">
        <v>4371.37</v>
      </c>
      <c r="G120" s="122">
        <v>5566.74</v>
      </c>
      <c r="H120" s="122">
        <v>5512.67</v>
      </c>
      <c r="I120" s="122">
        <v>5444.15</v>
      </c>
      <c r="J120" s="122">
        <v>5150.12</v>
      </c>
      <c r="K120" s="122">
        <v>3983.76</v>
      </c>
      <c r="L120" s="122">
        <v>3067.46</v>
      </c>
      <c r="M120" s="122">
        <v>4096.27</v>
      </c>
      <c r="N120" s="122">
        <v>5298.77</v>
      </c>
      <c r="O120" s="122">
        <v>4633.27</v>
      </c>
      <c r="P120" s="122">
        <v>5951.85</v>
      </c>
      <c r="Q120" s="122">
        <v>5936.52</v>
      </c>
      <c r="R120" s="122">
        <v>3896.14</v>
      </c>
      <c r="S120" s="122">
        <v>3744.78</v>
      </c>
      <c r="T120" s="122">
        <v>3840.26</v>
      </c>
      <c r="U120" s="122">
        <v>4884.47</v>
      </c>
      <c r="V120" s="122">
        <v>4102.74</v>
      </c>
      <c r="W120" s="122">
        <v>5399.94</v>
      </c>
      <c r="X120" s="122">
        <v>5542.81</v>
      </c>
      <c r="Y120" s="122">
        <v>4663.87</v>
      </c>
      <c r="Z120" s="122">
        <v>3763.93</v>
      </c>
      <c r="AA120" s="122">
        <v>5261.34</v>
      </c>
      <c r="AB120" s="122">
        <v>4018.57</v>
      </c>
      <c r="AC120" s="122">
        <v>4669.24</v>
      </c>
      <c r="AD120" s="122">
        <v>5379.2</v>
      </c>
      <c r="AE120" s="122">
        <v>4121.07</v>
      </c>
      <c r="AF120" s="122"/>
    </row>
    <row r="121">
      <c r="A121" s="51"/>
      <c r="B121" s="87"/>
      <c r="C121" s="85"/>
      <c r="D121" s="85"/>
      <c r="E121" s="85"/>
      <c r="F121" s="85"/>
      <c r="G121" s="85"/>
      <c r="H121" s="85"/>
      <c r="I121" s="85"/>
      <c r="J121" s="85"/>
      <c r="K121" s="51"/>
      <c r="L121" s="51"/>
    </row>
    <row r="122">
      <c r="A122" s="26" t="s">
        <v>106</v>
      </c>
      <c r="B122" s="27" t="s">
        <v>1</v>
      </c>
      <c r="C122" s="28" t="s">
        <v>2</v>
      </c>
      <c r="D122" s="28" t="s">
        <v>3</v>
      </c>
      <c r="E122" s="28" t="s">
        <v>4</v>
      </c>
      <c r="F122" s="29" t="s">
        <v>5</v>
      </c>
      <c r="G122" s="29" t="s">
        <v>6</v>
      </c>
      <c r="H122" s="28" t="s">
        <v>7</v>
      </c>
      <c r="I122" s="28" t="s">
        <v>8</v>
      </c>
      <c r="J122" s="29" t="s">
        <v>10</v>
      </c>
      <c r="K122" s="16"/>
      <c r="L122" s="51"/>
    </row>
    <row r="123">
      <c r="A123" s="112" t="s">
        <v>93</v>
      </c>
      <c r="B123" s="113">
        <v>5.0</v>
      </c>
      <c r="C123" s="78">
        <f>SUM(B127:AE127)</f>
        <v>3</v>
      </c>
      <c r="D123" s="93">
        <f>C123/B123</f>
        <v>0.6</v>
      </c>
      <c r="E123" s="91">
        <f>B123-C123</f>
        <v>2</v>
      </c>
      <c r="F123" s="78"/>
      <c r="G123" s="129"/>
      <c r="H123" s="78"/>
      <c r="I123" s="114"/>
      <c r="J123" s="115">
        <f>C123/30</f>
        <v>0.1</v>
      </c>
      <c r="K123" s="13"/>
      <c r="L123" s="13"/>
    </row>
    <row r="124">
      <c r="A124" s="112" t="s">
        <v>94</v>
      </c>
      <c r="B124" s="78">
        <f>B125/B123</f>
        <v>2000</v>
      </c>
      <c r="C124" s="132">
        <f>IFERROR(C125/C123,"-")</f>
        <v>2717.456667</v>
      </c>
      <c r="D124" s="93"/>
      <c r="E124" s="84"/>
      <c r="F124" s="132"/>
      <c r="G124" s="134"/>
      <c r="H124" s="79"/>
      <c r="I124" s="78"/>
      <c r="J124" s="116"/>
      <c r="K124" s="13"/>
      <c r="L124" s="13"/>
    </row>
    <row r="125">
      <c r="A125" s="112" t="s">
        <v>95</v>
      </c>
      <c r="B125" s="113">
        <v>10000.0</v>
      </c>
      <c r="C125" s="78">
        <f>SUM(B129:AE129)</f>
        <v>8152.37</v>
      </c>
      <c r="D125" s="93">
        <f>C125/B125</f>
        <v>0.815237</v>
      </c>
      <c r="E125" s="78">
        <f>B125-C125</f>
        <v>1847.63</v>
      </c>
      <c r="F125" s="78"/>
      <c r="G125" s="129"/>
      <c r="H125" s="78"/>
      <c r="I125" s="78"/>
      <c r="J125" s="91">
        <f>C125/30</f>
        <v>271.7456667</v>
      </c>
      <c r="K125" s="87"/>
      <c r="L125" s="13"/>
    </row>
    <row r="126">
      <c r="A126" s="119" t="s">
        <v>108</v>
      </c>
      <c r="B126" s="128">
        <v>44440.0</v>
      </c>
      <c r="C126" s="128">
        <v>44441.0</v>
      </c>
      <c r="D126" s="128">
        <v>44442.0</v>
      </c>
      <c r="E126" s="128">
        <v>44443.0</v>
      </c>
      <c r="F126" s="128">
        <v>44444.0</v>
      </c>
      <c r="G126" s="128">
        <v>44445.0</v>
      </c>
      <c r="H126" s="128">
        <v>44446.0</v>
      </c>
      <c r="I126" s="128">
        <v>44447.0</v>
      </c>
      <c r="J126" s="128">
        <v>44448.0</v>
      </c>
      <c r="K126" s="128">
        <v>44449.0</v>
      </c>
      <c r="L126" s="128">
        <v>44450.0</v>
      </c>
      <c r="M126" s="128">
        <v>44451.0</v>
      </c>
      <c r="N126" s="128">
        <v>44452.0</v>
      </c>
      <c r="O126" s="128">
        <v>44453.0</v>
      </c>
      <c r="P126" s="128">
        <v>44454.0</v>
      </c>
      <c r="Q126" s="128">
        <v>44455.0</v>
      </c>
      <c r="R126" s="128">
        <v>44456.0</v>
      </c>
      <c r="S126" s="128">
        <v>44457.0</v>
      </c>
      <c r="T126" s="128">
        <v>44458.0</v>
      </c>
      <c r="U126" s="128">
        <v>44459.0</v>
      </c>
      <c r="V126" s="128">
        <v>44460.0</v>
      </c>
      <c r="W126" s="128">
        <v>44461.0</v>
      </c>
      <c r="X126" s="128">
        <v>44462.0</v>
      </c>
      <c r="Y126" s="128">
        <v>44463.0</v>
      </c>
      <c r="Z126" s="128">
        <v>44464.0</v>
      </c>
      <c r="AA126" s="128">
        <v>44465.0</v>
      </c>
      <c r="AB126" s="128">
        <v>44466.0</v>
      </c>
      <c r="AC126" s="128">
        <v>44467.0</v>
      </c>
      <c r="AD126" s="128">
        <v>44468.0</v>
      </c>
      <c r="AE126" s="128">
        <v>44469.0</v>
      </c>
      <c r="AF126" s="128"/>
    </row>
    <row r="127">
      <c r="A127" s="121" t="s">
        <v>93</v>
      </c>
      <c r="B127" s="122">
        <v>0.0</v>
      </c>
      <c r="C127" s="122">
        <v>0.0</v>
      </c>
      <c r="D127" s="122">
        <v>0.0</v>
      </c>
      <c r="E127" s="122">
        <v>0.0</v>
      </c>
      <c r="F127" s="122">
        <v>0.0</v>
      </c>
      <c r="G127" s="122">
        <v>0.0</v>
      </c>
      <c r="H127" s="122">
        <v>0.0</v>
      </c>
      <c r="I127" s="122">
        <v>0.0</v>
      </c>
      <c r="J127" s="122">
        <v>1.0</v>
      </c>
      <c r="K127" s="122">
        <v>0.0</v>
      </c>
      <c r="L127" s="122">
        <v>0.0</v>
      </c>
      <c r="M127" s="122">
        <v>0.0</v>
      </c>
      <c r="N127" s="122">
        <v>0.0</v>
      </c>
      <c r="O127" s="122">
        <v>0.0</v>
      </c>
      <c r="P127" s="122">
        <v>0.0</v>
      </c>
      <c r="Q127" s="122">
        <v>1.0</v>
      </c>
      <c r="R127" s="122">
        <v>0.0</v>
      </c>
      <c r="S127" s="122">
        <v>0.0</v>
      </c>
      <c r="T127" s="122">
        <v>0.0</v>
      </c>
      <c r="U127" s="122">
        <v>0.0</v>
      </c>
      <c r="V127" s="122">
        <v>0.0</v>
      </c>
      <c r="W127" s="122">
        <v>0.0</v>
      </c>
      <c r="X127" s="122">
        <v>0.0</v>
      </c>
      <c r="Y127" s="122">
        <v>0.0</v>
      </c>
      <c r="Z127" s="122">
        <v>0.0</v>
      </c>
      <c r="AA127" s="122">
        <v>1.0</v>
      </c>
      <c r="AB127" s="122">
        <v>0.0</v>
      </c>
      <c r="AC127" s="122">
        <v>0.0</v>
      </c>
      <c r="AD127" s="122">
        <v>0.0</v>
      </c>
      <c r="AE127" s="122">
        <v>0.0</v>
      </c>
      <c r="AF127" s="122"/>
    </row>
    <row r="128">
      <c r="A128" s="121" t="s">
        <v>94</v>
      </c>
      <c r="B128" s="123" t="str">
        <f t="shared" ref="B128:AE128" si="24">IFERROR(B129/B127,"-")</f>
        <v>-</v>
      </c>
      <c r="C128" s="123" t="str">
        <f t="shared" si="24"/>
        <v>-</v>
      </c>
      <c r="D128" s="123" t="str">
        <f t="shared" si="24"/>
        <v>-</v>
      </c>
      <c r="E128" s="123" t="str">
        <f t="shared" si="24"/>
        <v>-</v>
      </c>
      <c r="F128" s="123" t="str">
        <f t="shared" si="24"/>
        <v>-</v>
      </c>
      <c r="G128" s="123" t="str">
        <f t="shared" si="24"/>
        <v>-</v>
      </c>
      <c r="H128" s="123" t="str">
        <f t="shared" si="24"/>
        <v>-</v>
      </c>
      <c r="I128" s="123" t="str">
        <f t="shared" si="24"/>
        <v>-</v>
      </c>
      <c r="J128" s="123">
        <f t="shared" si="24"/>
        <v>1962.21</v>
      </c>
      <c r="K128" s="123" t="str">
        <f t="shared" si="24"/>
        <v>-</v>
      </c>
      <c r="L128" s="123" t="str">
        <f t="shared" si="24"/>
        <v>-</v>
      </c>
      <c r="M128" s="123" t="str">
        <f t="shared" si="24"/>
        <v>-</v>
      </c>
      <c r="N128" s="123" t="str">
        <f t="shared" si="24"/>
        <v>-</v>
      </c>
      <c r="O128" s="123" t="str">
        <f t="shared" si="24"/>
        <v>-</v>
      </c>
      <c r="P128" s="123" t="str">
        <f t="shared" si="24"/>
        <v>-</v>
      </c>
      <c r="Q128" s="123">
        <f t="shared" si="24"/>
        <v>1920</v>
      </c>
      <c r="R128" s="123" t="str">
        <f t="shared" si="24"/>
        <v>-</v>
      </c>
      <c r="S128" s="123" t="str">
        <f t="shared" si="24"/>
        <v>-</v>
      </c>
      <c r="T128" s="123" t="str">
        <f t="shared" si="24"/>
        <v>-</v>
      </c>
      <c r="U128" s="123" t="str">
        <f t="shared" si="24"/>
        <v>-</v>
      </c>
      <c r="V128" s="123" t="str">
        <f t="shared" si="24"/>
        <v>-</v>
      </c>
      <c r="W128" s="123" t="str">
        <f t="shared" si="24"/>
        <v>-</v>
      </c>
      <c r="X128" s="123" t="str">
        <f t="shared" si="24"/>
        <v>-</v>
      </c>
      <c r="Y128" s="123" t="str">
        <f t="shared" si="24"/>
        <v>-</v>
      </c>
      <c r="Z128" s="123" t="str">
        <f t="shared" si="24"/>
        <v>-</v>
      </c>
      <c r="AA128" s="123">
        <f t="shared" si="24"/>
        <v>1920</v>
      </c>
      <c r="AB128" s="123" t="str">
        <f t="shared" si="24"/>
        <v>-</v>
      </c>
      <c r="AC128" s="123" t="str">
        <f t="shared" si="24"/>
        <v>-</v>
      </c>
      <c r="AD128" s="123" t="str">
        <f t="shared" si="24"/>
        <v>-</v>
      </c>
      <c r="AE128" s="123" t="str">
        <f t="shared" si="24"/>
        <v>-</v>
      </c>
      <c r="AF128" s="123"/>
    </row>
    <row r="129">
      <c r="A129" s="121" t="s">
        <v>99</v>
      </c>
      <c r="B129" s="122">
        <v>0.0</v>
      </c>
      <c r="C129" s="122">
        <v>196.14</v>
      </c>
      <c r="D129" s="122">
        <v>0.0</v>
      </c>
      <c r="E129" s="122">
        <v>94.25</v>
      </c>
      <c r="F129" s="122">
        <v>460.31</v>
      </c>
      <c r="G129" s="122">
        <v>34.12</v>
      </c>
      <c r="H129" s="122">
        <v>11.24</v>
      </c>
      <c r="I129" s="122">
        <v>62.0</v>
      </c>
      <c r="J129" s="122">
        <v>1962.21</v>
      </c>
      <c r="K129" s="122">
        <v>41.37</v>
      </c>
      <c r="L129" s="122">
        <v>140.9</v>
      </c>
      <c r="M129" s="122">
        <v>457.0</v>
      </c>
      <c r="N129" s="122">
        <v>408.42</v>
      </c>
      <c r="O129" s="122">
        <v>444.41</v>
      </c>
      <c r="P129" s="122">
        <v>0.0</v>
      </c>
      <c r="Q129" s="122">
        <v>1920.0</v>
      </c>
      <c r="R129" s="122">
        <v>0.0</v>
      </c>
      <c r="S129" s="122">
        <v>0.0</v>
      </c>
      <c r="T129" s="122">
        <v>0.0</v>
      </c>
      <c r="U129" s="122">
        <v>0.0</v>
      </c>
      <c r="V129" s="122">
        <v>0.0</v>
      </c>
      <c r="W129" s="122">
        <v>0.0</v>
      </c>
      <c r="X129" s="122">
        <v>0.0</v>
      </c>
      <c r="Y129" s="122">
        <v>0.0</v>
      </c>
      <c r="Z129" s="122">
        <v>0.0</v>
      </c>
      <c r="AA129" s="122">
        <v>1920.0</v>
      </c>
      <c r="AB129" s="122">
        <v>0.0</v>
      </c>
      <c r="AC129" s="122">
        <v>0.0</v>
      </c>
      <c r="AD129" s="122">
        <v>0.0</v>
      </c>
      <c r="AE129" s="122">
        <v>0.0</v>
      </c>
      <c r="AF129" s="122"/>
    </row>
    <row r="130">
      <c r="A130" s="35"/>
      <c r="B130" s="53"/>
      <c r="C130" s="53"/>
      <c r="D130" s="53"/>
      <c r="E130" s="53"/>
      <c r="F130" s="55"/>
      <c r="G130" s="55"/>
      <c r="H130" s="54"/>
      <c r="I130" s="54"/>
      <c r="J130" s="54"/>
      <c r="K130" s="54"/>
      <c r="L130" s="54"/>
    </row>
    <row r="131">
      <c r="A131" s="26" t="s">
        <v>100</v>
      </c>
      <c r="B131" s="27" t="s">
        <v>1</v>
      </c>
      <c r="C131" s="28" t="s">
        <v>2</v>
      </c>
      <c r="D131" s="28" t="s">
        <v>3</v>
      </c>
      <c r="E131" s="28" t="s">
        <v>4</v>
      </c>
      <c r="F131" s="29" t="s">
        <v>5</v>
      </c>
      <c r="G131" s="29" t="s">
        <v>6</v>
      </c>
      <c r="H131" s="28" t="s">
        <v>7</v>
      </c>
      <c r="I131" s="28" t="s">
        <v>8</v>
      </c>
      <c r="J131" s="29" t="s">
        <v>10</v>
      </c>
      <c r="K131" s="16"/>
      <c r="L131" s="51"/>
    </row>
    <row r="132">
      <c r="A132" s="112" t="s">
        <v>93</v>
      </c>
      <c r="B132" s="113">
        <v>100.0</v>
      </c>
      <c r="C132" s="78">
        <f>SUM(B136:AE136)-3</f>
        <v>79</v>
      </c>
      <c r="D132" s="93">
        <f>C132/B132</f>
        <v>0.79</v>
      </c>
      <c r="E132" s="91">
        <f>B132-C132</f>
        <v>21</v>
      </c>
      <c r="F132" s="78"/>
      <c r="G132" s="129"/>
      <c r="H132" s="78"/>
      <c r="I132" s="114"/>
      <c r="J132" s="115">
        <f>C132/30</f>
        <v>2.633333333</v>
      </c>
      <c r="K132" s="79"/>
      <c r="L132" s="79"/>
    </row>
    <row r="133">
      <c r="A133" s="112" t="s">
        <v>94</v>
      </c>
      <c r="B133" s="78">
        <f t="shared" ref="B133:C133" si="25">B134/B132</f>
        <v>1100</v>
      </c>
      <c r="C133" s="78">
        <f t="shared" si="25"/>
        <v>1276.607848</v>
      </c>
      <c r="D133" s="93"/>
      <c r="E133" s="79"/>
      <c r="F133" s="78"/>
      <c r="G133" s="93"/>
      <c r="H133" s="79"/>
      <c r="I133" s="78"/>
      <c r="J133" s="116"/>
      <c r="K133" s="79"/>
      <c r="L133" s="79"/>
    </row>
    <row r="134">
      <c r="A134" s="112" t="s">
        <v>95</v>
      </c>
      <c r="B134" s="113">
        <v>110000.0</v>
      </c>
      <c r="C134" s="78">
        <f>SUM(B138:AE138)-29.91</f>
        <v>100852.02</v>
      </c>
      <c r="D134" s="93">
        <f>C134/B134</f>
        <v>0.9168365455</v>
      </c>
      <c r="E134" s="78">
        <f>B134-C134</f>
        <v>9147.98</v>
      </c>
      <c r="F134" s="78"/>
      <c r="G134" s="129"/>
      <c r="H134" s="78"/>
      <c r="I134" s="78"/>
      <c r="J134" s="91">
        <f>C134/30</f>
        <v>3361.734</v>
      </c>
      <c r="K134" s="79"/>
      <c r="L134" s="79"/>
    </row>
    <row r="135">
      <c r="A135" s="119" t="s">
        <v>101</v>
      </c>
      <c r="B135" s="128">
        <v>44440.0</v>
      </c>
      <c r="C135" s="128">
        <v>44441.0</v>
      </c>
      <c r="D135" s="128">
        <v>44442.0</v>
      </c>
      <c r="E135" s="128">
        <v>44443.0</v>
      </c>
      <c r="F135" s="128">
        <v>44444.0</v>
      </c>
      <c r="G135" s="128">
        <v>44445.0</v>
      </c>
      <c r="H135" s="128">
        <v>44446.0</v>
      </c>
      <c r="I135" s="128">
        <v>44447.0</v>
      </c>
      <c r="J135" s="128">
        <v>44448.0</v>
      </c>
      <c r="K135" s="128">
        <v>44449.0</v>
      </c>
      <c r="L135" s="128">
        <v>44450.0</v>
      </c>
      <c r="M135" s="128">
        <v>44451.0</v>
      </c>
      <c r="N135" s="128">
        <v>44452.0</v>
      </c>
      <c r="O135" s="128">
        <v>44453.0</v>
      </c>
      <c r="P135" s="128">
        <v>44454.0</v>
      </c>
      <c r="Q135" s="128">
        <v>44455.0</v>
      </c>
      <c r="R135" s="128">
        <v>44456.0</v>
      </c>
      <c r="S135" s="128">
        <v>44457.0</v>
      </c>
      <c r="T135" s="128">
        <v>44458.0</v>
      </c>
      <c r="U135" s="128">
        <v>44459.0</v>
      </c>
      <c r="V135" s="128">
        <v>44460.0</v>
      </c>
      <c r="W135" s="128">
        <v>44461.0</v>
      </c>
      <c r="X135" s="128">
        <v>44462.0</v>
      </c>
      <c r="Y135" s="128">
        <v>44463.0</v>
      </c>
      <c r="Z135" s="128">
        <v>44464.0</v>
      </c>
      <c r="AA135" s="128">
        <v>44465.0</v>
      </c>
      <c r="AB135" s="128">
        <v>44466.0</v>
      </c>
      <c r="AC135" s="128">
        <v>44467.0</v>
      </c>
      <c r="AD135" s="128">
        <v>44468.0</v>
      </c>
      <c r="AE135" s="128">
        <v>44469.0</v>
      </c>
      <c r="AF135" s="128"/>
    </row>
    <row r="136">
      <c r="A136" s="121" t="s">
        <v>93</v>
      </c>
      <c r="B136" s="122">
        <v>5.0</v>
      </c>
      <c r="C136" s="122">
        <v>3.0</v>
      </c>
      <c r="D136" s="122">
        <v>3.0</v>
      </c>
      <c r="E136" s="122">
        <v>4.0</v>
      </c>
      <c r="F136" s="122">
        <v>3.0</v>
      </c>
      <c r="G136" s="122">
        <v>6.0</v>
      </c>
      <c r="H136" s="122">
        <v>7.0</v>
      </c>
      <c r="I136" s="122">
        <v>2.0</v>
      </c>
      <c r="J136" s="122">
        <v>3.0</v>
      </c>
      <c r="K136" s="122">
        <v>4.0</v>
      </c>
      <c r="L136" s="122">
        <v>2.0</v>
      </c>
      <c r="M136" s="122">
        <v>2.0</v>
      </c>
      <c r="N136" s="122">
        <v>4.0</v>
      </c>
      <c r="O136" s="122">
        <v>2.0</v>
      </c>
      <c r="P136" s="122">
        <v>0.0</v>
      </c>
      <c r="Q136" s="122">
        <v>2.0</v>
      </c>
      <c r="R136" s="122">
        <v>2.0</v>
      </c>
      <c r="S136" s="122">
        <v>1.0</v>
      </c>
      <c r="T136" s="122">
        <v>2.0</v>
      </c>
      <c r="U136" s="122">
        <v>3.0</v>
      </c>
      <c r="V136" s="122">
        <v>3.0</v>
      </c>
      <c r="W136" s="122">
        <v>3.0</v>
      </c>
      <c r="X136" s="122">
        <v>2.0</v>
      </c>
      <c r="Y136" s="122">
        <v>2.0</v>
      </c>
      <c r="Z136" s="122">
        <v>3.0</v>
      </c>
      <c r="AA136" s="122">
        <v>0.0</v>
      </c>
      <c r="AB136" s="122">
        <v>3.0</v>
      </c>
      <c r="AC136" s="122">
        <v>1.0</v>
      </c>
      <c r="AD136" s="122">
        <v>1.0</v>
      </c>
      <c r="AE136" s="122">
        <v>4.0</v>
      </c>
      <c r="AF136" s="122"/>
    </row>
    <row r="137">
      <c r="A137" s="121" t="s">
        <v>94</v>
      </c>
      <c r="B137" s="123">
        <f t="shared" ref="B137:AE137" si="26">IFERROR(B138/B136,"-")</f>
        <v>477.964</v>
      </c>
      <c r="C137" s="123">
        <f t="shared" si="26"/>
        <v>916.06</v>
      </c>
      <c r="D137" s="123">
        <f t="shared" si="26"/>
        <v>1176.866667</v>
      </c>
      <c r="E137" s="123">
        <f t="shared" si="26"/>
        <v>780.8775</v>
      </c>
      <c r="F137" s="123">
        <f t="shared" si="26"/>
        <v>978.1333333</v>
      </c>
      <c r="G137" s="123">
        <f t="shared" si="26"/>
        <v>586.0333333</v>
      </c>
      <c r="H137" s="123">
        <f t="shared" si="26"/>
        <v>505.7214286</v>
      </c>
      <c r="I137" s="123">
        <f t="shared" si="26"/>
        <v>2229.595</v>
      </c>
      <c r="J137" s="123">
        <f t="shared" si="26"/>
        <v>1428.4</v>
      </c>
      <c r="K137" s="123">
        <f t="shared" si="26"/>
        <v>877.97</v>
      </c>
      <c r="L137" s="123">
        <f t="shared" si="26"/>
        <v>1521.74</v>
      </c>
      <c r="M137" s="123">
        <f t="shared" si="26"/>
        <v>1948.37</v>
      </c>
      <c r="N137" s="123">
        <f t="shared" si="26"/>
        <v>1141.3575</v>
      </c>
      <c r="O137" s="123">
        <f t="shared" si="26"/>
        <v>2222.62</v>
      </c>
      <c r="P137" s="123" t="str">
        <f t="shared" si="26"/>
        <v>-</v>
      </c>
      <c r="Q137" s="123">
        <f t="shared" si="26"/>
        <v>1895.945</v>
      </c>
      <c r="R137" s="123">
        <f t="shared" si="26"/>
        <v>1560.805</v>
      </c>
      <c r="S137" s="123">
        <f t="shared" si="26"/>
        <v>2694.16</v>
      </c>
      <c r="T137" s="123">
        <f t="shared" si="26"/>
        <v>1557.895</v>
      </c>
      <c r="U137" s="123">
        <f t="shared" si="26"/>
        <v>1365.966667</v>
      </c>
      <c r="V137" s="123">
        <f t="shared" si="26"/>
        <v>1261.323333</v>
      </c>
      <c r="W137" s="123">
        <f t="shared" si="26"/>
        <v>1250.883333</v>
      </c>
      <c r="X137" s="123">
        <f t="shared" si="26"/>
        <v>1299.62</v>
      </c>
      <c r="Y137" s="123">
        <f t="shared" si="26"/>
        <v>694.055</v>
      </c>
      <c r="Z137" s="123">
        <f t="shared" si="26"/>
        <v>474.7</v>
      </c>
      <c r="AA137" s="123" t="str">
        <f t="shared" si="26"/>
        <v>-</v>
      </c>
      <c r="AB137" s="123">
        <f t="shared" si="26"/>
        <v>1538.99</v>
      </c>
      <c r="AC137" s="123">
        <f t="shared" si="26"/>
        <v>3734.23</v>
      </c>
      <c r="AD137" s="123">
        <f t="shared" si="26"/>
        <v>2892.48</v>
      </c>
      <c r="AE137" s="123">
        <f t="shared" si="26"/>
        <v>634.155</v>
      </c>
      <c r="AF137" s="123"/>
    </row>
    <row r="138">
      <c r="A138" s="121" t="s">
        <v>99</v>
      </c>
      <c r="B138" s="122">
        <v>2389.82</v>
      </c>
      <c r="C138" s="122">
        <v>2748.18</v>
      </c>
      <c r="D138" s="122">
        <v>3530.6</v>
      </c>
      <c r="E138" s="122">
        <v>3123.51</v>
      </c>
      <c r="F138" s="122">
        <v>2934.4</v>
      </c>
      <c r="G138" s="122">
        <v>3516.2</v>
      </c>
      <c r="H138" s="122">
        <v>3540.05</v>
      </c>
      <c r="I138" s="122">
        <v>4459.19</v>
      </c>
      <c r="J138" s="122">
        <v>4285.2</v>
      </c>
      <c r="K138" s="122">
        <v>3511.88</v>
      </c>
      <c r="L138" s="122">
        <v>3043.48</v>
      </c>
      <c r="M138" s="122">
        <v>3896.74</v>
      </c>
      <c r="N138" s="122">
        <v>4565.43</v>
      </c>
      <c r="O138" s="122">
        <v>4445.24</v>
      </c>
      <c r="P138" s="122">
        <v>5262.11</v>
      </c>
      <c r="Q138" s="122">
        <v>3791.89</v>
      </c>
      <c r="R138" s="122">
        <v>3121.61</v>
      </c>
      <c r="S138" s="122">
        <v>2694.16</v>
      </c>
      <c r="T138" s="122">
        <v>3115.79</v>
      </c>
      <c r="U138" s="122">
        <v>4097.9</v>
      </c>
      <c r="V138" s="122">
        <v>3783.97</v>
      </c>
      <c r="W138" s="122">
        <v>3752.65</v>
      </c>
      <c r="X138" s="122">
        <v>2599.24</v>
      </c>
      <c r="Y138" s="122">
        <v>1388.11</v>
      </c>
      <c r="Z138" s="122">
        <v>1424.1</v>
      </c>
      <c r="AA138" s="122">
        <v>2080.18</v>
      </c>
      <c r="AB138" s="122">
        <v>4616.97</v>
      </c>
      <c r="AC138" s="122">
        <v>3734.23</v>
      </c>
      <c r="AD138" s="122">
        <v>2892.48</v>
      </c>
      <c r="AE138" s="122">
        <v>2536.62</v>
      </c>
      <c r="AF138" s="122"/>
    </row>
  </sheetData>
  <conditionalFormatting sqref="H4 H10 H19 H28 H39 H45 H54 H63 H74 H80 H89 H98">
    <cfRule type="cellIs" dxfId="0" priority="1" operator="greaterThan">
      <formula>0</formula>
    </cfRule>
  </conditionalFormatting>
  <conditionalFormatting sqref="H2 H8 H17 H26 H37 H43 H52 H61 H72 H78 H87 H96">
    <cfRule type="cellIs" dxfId="1" priority="2" operator="greaterThanOrEqual">
      <formula>0</formula>
    </cfRule>
  </conditionalFormatting>
  <conditionalFormatting sqref="H4 H10 H19 H28 H39 H45 H54 H63 H74 H80 H89 H98">
    <cfRule type="cellIs" dxfId="1" priority="3" operator="lessThanOrEqual">
      <formula>0</formula>
    </cfRule>
  </conditionalFormatting>
  <conditionalFormatting sqref="H2 H8 H17 H26 H37 H43 H52 H61 H72 H78 H87 H96">
    <cfRule type="cellIs" dxfId="0" priority="4" operator="lessThan">
      <formula>0</formula>
    </cfRule>
  </conditionalFormatting>
  <conditionalFormatting sqref="G4 G10 G19 G28 G39 G45 G54 G63 G74 G80 G89 G98">
    <cfRule type="cellIs" dxfId="0" priority="5" operator="greaterThan">
      <formula>"100%"</formula>
    </cfRule>
  </conditionalFormatting>
  <conditionalFormatting sqref="G2 G8 G17 G26 G37 G43 G52 G61 G72 G78 G87 G96">
    <cfRule type="cellIs" dxfId="1" priority="6" operator="greaterThanOrEqual">
      <formula>"100%"</formula>
    </cfRule>
  </conditionalFormatting>
  <conditionalFormatting sqref="G2 G8 G17 G26 G37 G43 G52 G61 G72 G78 G87 G96">
    <cfRule type="cellIs" dxfId="0" priority="7" operator="lessThan">
      <formula>"100%"</formula>
    </cfRule>
  </conditionalFormatting>
  <conditionalFormatting sqref="G3 G9 G18 G27 G38 G44 G53 G62 G73 G79 G88 G97">
    <cfRule type="cellIs" dxfId="0" priority="8" operator="greaterThan">
      <formula>"100%"</formula>
    </cfRule>
  </conditionalFormatting>
  <conditionalFormatting sqref="G3 G9 G18 G27 G38 G44 G53 G62 G73 G79 G88 G97">
    <cfRule type="cellIs" dxfId="1" priority="9" operator="lessThanOrEqual">
      <formula>"100%"</formula>
    </cfRule>
  </conditionalFormatting>
  <conditionalFormatting sqref="G4 G10 G19 G28 G39 G45 G54 G63 G74 G80 G89 G98">
    <cfRule type="cellIs" dxfId="1" priority="10" operator="lessThanOrEqual">
      <formula>"100%"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29"/>
    <col customWidth="1" min="2" max="3" width="12.14"/>
    <col customWidth="1" min="4" max="4" width="13.29"/>
    <col customWidth="1" min="5" max="7" width="12.14"/>
    <col customWidth="1" min="8" max="8" width="15.71"/>
    <col customWidth="1" min="9" max="32" width="12.14"/>
  </cols>
  <sheetData>
    <row r="1">
      <c r="A1" s="100" t="s">
        <v>92</v>
      </c>
      <c r="B1" s="101" t="s">
        <v>1</v>
      </c>
      <c r="C1" s="102" t="s">
        <v>2</v>
      </c>
      <c r="D1" s="102" t="str">
        <f>CONCATENATE("Выполнено ",INT(M3/M2*100),"%")</f>
        <v>Выполнено 22%</v>
      </c>
      <c r="E1" s="102" t="s">
        <v>4</v>
      </c>
      <c r="F1" s="103" t="s">
        <v>5</v>
      </c>
      <c r="G1" s="103" t="s">
        <v>6</v>
      </c>
      <c r="H1" s="104" t="s">
        <v>7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 t="shared" ref="B2:C2" si="1">B8+B26</f>
        <v>107</v>
      </c>
      <c r="C2" s="9">
        <f t="shared" si="1"/>
        <v>14</v>
      </c>
      <c r="D2" s="10">
        <f>C2/B2</f>
        <v>0.1308411215</v>
      </c>
      <c r="E2" s="9">
        <f>B2-C2</f>
        <v>93</v>
      </c>
      <c r="F2" s="9">
        <f>C2/M3*M2</f>
        <v>62</v>
      </c>
      <c r="G2" s="10">
        <f t="shared" ref="G2:G4" si="2">F2/B2</f>
        <v>0.5794392523</v>
      </c>
      <c r="H2" s="9">
        <f>F2-B2</f>
        <v>-45</v>
      </c>
      <c r="I2" s="106">
        <f>E2/(M2-M3)</f>
        <v>3.875</v>
      </c>
      <c r="J2" s="46">
        <f>C2/M3</f>
        <v>2</v>
      </c>
      <c r="K2" s="107"/>
      <c r="M2" s="91" t="str">
        <f>LEFT(N2, 2)</f>
        <v>31</v>
      </c>
      <c r="N2" s="108">
        <f>DATE(YEAR(TODAY()),MONTH(TODAY())+1,1)-1</f>
        <v>44561</v>
      </c>
    </row>
    <row r="3">
      <c r="A3" s="105" t="s">
        <v>94</v>
      </c>
      <c r="B3" s="8">
        <f>B4/B2</f>
        <v>6751.401869</v>
      </c>
      <c r="C3" s="130">
        <f>IFERROR(C4/C2,"-")</f>
        <v>10524.09786</v>
      </c>
      <c r="D3" s="10"/>
      <c r="E3" s="109"/>
      <c r="F3" s="9">
        <f>F4/F2</f>
        <v>10524.09786</v>
      </c>
      <c r="G3" s="10">
        <f t="shared" si="2"/>
        <v>1.55880187</v>
      </c>
      <c r="H3" s="109"/>
      <c r="I3" s="109"/>
      <c r="J3" s="107"/>
      <c r="K3" s="107"/>
      <c r="M3" s="91">
        <f>LEFT(N3, 2)-1</f>
        <v>7</v>
      </c>
      <c r="N3" s="108">
        <f>TODAY()</f>
        <v>44538</v>
      </c>
    </row>
    <row r="4">
      <c r="A4" s="105" t="s">
        <v>95</v>
      </c>
      <c r="B4" s="9">
        <f>B10+B28</f>
        <v>722400</v>
      </c>
      <c r="C4" s="9">
        <f>C10+C28+C37</f>
        <v>147337.37</v>
      </c>
      <c r="D4" s="10">
        <f>C4/B4</f>
        <v>0.2039553848</v>
      </c>
      <c r="E4" s="9">
        <f>B4-C4</f>
        <v>575062.63</v>
      </c>
      <c r="F4" s="9">
        <f>C4/M3*M2</f>
        <v>652494.0671</v>
      </c>
      <c r="G4" s="10">
        <f t="shared" si="2"/>
        <v>0.90323099</v>
      </c>
      <c r="H4" s="9">
        <f>F4-B4</f>
        <v>-69905.93286</v>
      </c>
      <c r="I4" s="19">
        <f>E4/(M2-M3)</f>
        <v>23960.94292</v>
      </c>
      <c r="J4" s="19">
        <f>C4/M3</f>
        <v>21048.19571</v>
      </c>
      <c r="K4" s="107"/>
    </row>
    <row r="6">
      <c r="A6" s="110" t="s">
        <v>96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109</v>
      </c>
      <c r="B7" s="27" t="s">
        <v>1</v>
      </c>
      <c r="C7" s="28" t="s">
        <v>2</v>
      </c>
      <c r="D7" s="29" t="s">
        <v>3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67.0</v>
      </c>
      <c r="C8" s="78">
        <f>SUM(B12:AF12)+SUM(B21:AF21)</f>
        <v>8</v>
      </c>
      <c r="D8" s="93">
        <f>C8/B8</f>
        <v>0.1194029851</v>
      </c>
      <c r="E8" s="91">
        <f>B8-C8</f>
        <v>59</v>
      </c>
      <c r="F8" s="78">
        <f>C8/M3*M2</f>
        <v>35.42857143</v>
      </c>
      <c r="G8" s="93">
        <f t="shared" ref="G8:G10" si="3">F8/B8</f>
        <v>0.5287846482</v>
      </c>
      <c r="H8" s="78">
        <f>F8-B8</f>
        <v>-31.57142857</v>
      </c>
      <c r="I8" s="114">
        <f>E8/(M2-M3)</f>
        <v>2.458333333</v>
      </c>
      <c r="J8" s="115">
        <f>C8/M3</f>
        <v>1.142857143</v>
      </c>
      <c r="K8" s="116"/>
      <c r="L8" s="13"/>
    </row>
    <row r="9">
      <c r="A9" s="112" t="s">
        <v>94</v>
      </c>
      <c r="B9" s="78">
        <f>B10/B8</f>
        <v>7200</v>
      </c>
      <c r="C9" s="132">
        <f>IFERROR(C10/C8,"-")</f>
        <v>12433.90375</v>
      </c>
      <c r="D9" s="93"/>
      <c r="E9" s="79"/>
      <c r="F9" s="78">
        <f>F10/F8</f>
        <v>12433.90375</v>
      </c>
      <c r="G9" s="93">
        <f t="shared" si="3"/>
        <v>1.726931076</v>
      </c>
      <c r="H9" s="116"/>
      <c r="I9" s="117"/>
      <c r="J9" s="116"/>
      <c r="K9" s="116"/>
      <c r="L9" s="13"/>
    </row>
    <row r="10">
      <c r="A10" s="112" t="s">
        <v>95</v>
      </c>
      <c r="B10" s="113">
        <v>482400.0</v>
      </c>
      <c r="C10" s="78">
        <f>SUM(B14:AF14)+SUM(B23:AF23)</f>
        <v>99471.23</v>
      </c>
      <c r="D10" s="93">
        <f>C10/B10</f>
        <v>0.2062007255</v>
      </c>
      <c r="E10" s="78">
        <f>B10-C10</f>
        <v>382928.77</v>
      </c>
      <c r="F10" s="78">
        <f>C10/M3*M2</f>
        <v>440515.4471</v>
      </c>
      <c r="G10" s="93">
        <f t="shared" si="3"/>
        <v>0.9131746417</v>
      </c>
      <c r="H10" s="78">
        <f>F10-B10</f>
        <v>-41884.55286</v>
      </c>
      <c r="I10" s="78">
        <f>E10/(M2-M3)</f>
        <v>15955.36542</v>
      </c>
      <c r="J10" s="91">
        <f>C10/M3</f>
        <v>14210.17571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22">
        <v>3.0</v>
      </c>
      <c r="C12" s="122">
        <v>0.0</v>
      </c>
      <c r="D12" s="122">
        <v>1.0</v>
      </c>
      <c r="E12" s="122">
        <v>1.0</v>
      </c>
      <c r="F12" s="122">
        <v>1.0</v>
      </c>
      <c r="G12" s="122">
        <v>0.0</v>
      </c>
      <c r="H12" s="122">
        <v>2.0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>
      <c r="A13" s="121" t="s">
        <v>94</v>
      </c>
      <c r="B13" s="123">
        <f t="shared" ref="B13:AF13" si="4">IFERROR(B14/B12,"-")</f>
        <v>3598.653333</v>
      </c>
      <c r="C13" s="123" t="str">
        <f t="shared" si="4"/>
        <v>-</v>
      </c>
      <c r="D13" s="123">
        <f t="shared" si="4"/>
        <v>7461.6</v>
      </c>
      <c r="E13" s="123">
        <f t="shared" si="4"/>
        <v>5688.34</v>
      </c>
      <c r="F13" s="123">
        <f t="shared" si="4"/>
        <v>16979.86</v>
      </c>
      <c r="G13" s="123" t="str">
        <f t="shared" si="4"/>
        <v>-</v>
      </c>
      <c r="H13" s="123">
        <f t="shared" si="4"/>
        <v>12026.155</v>
      </c>
      <c r="I13" s="123" t="str">
        <f t="shared" si="4"/>
        <v>-</v>
      </c>
      <c r="J13" s="123" t="str">
        <f t="shared" si="4"/>
        <v>-</v>
      </c>
      <c r="K13" s="123" t="str">
        <f t="shared" si="4"/>
        <v>-</v>
      </c>
      <c r="L13" s="123" t="str">
        <f t="shared" si="4"/>
        <v>-</v>
      </c>
      <c r="M13" s="123" t="str">
        <f t="shared" si="4"/>
        <v>-</v>
      </c>
      <c r="N13" s="123" t="str">
        <f t="shared" si="4"/>
        <v>-</v>
      </c>
      <c r="O13" s="123" t="str">
        <f t="shared" si="4"/>
        <v>-</v>
      </c>
      <c r="P13" s="123" t="str">
        <f t="shared" si="4"/>
        <v>-</v>
      </c>
      <c r="Q13" s="123" t="str">
        <f t="shared" si="4"/>
        <v>-</v>
      </c>
      <c r="R13" s="123" t="str">
        <f t="shared" si="4"/>
        <v>-</v>
      </c>
      <c r="S13" s="123" t="str">
        <f t="shared" si="4"/>
        <v>-</v>
      </c>
      <c r="T13" s="123" t="str">
        <f t="shared" si="4"/>
        <v>-</v>
      </c>
      <c r="U13" s="123" t="str">
        <f t="shared" si="4"/>
        <v>-</v>
      </c>
      <c r="V13" s="123" t="str">
        <f t="shared" si="4"/>
        <v>-</v>
      </c>
      <c r="W13" s="123" t="str">
        <f t="shared" si="4"/>
        <v>-</v>
      </c>
      <c r="X13" s="123" t="str">
        <f t="shared" si="4"/>
        <v>-</v>
      </c>
      <c r="Y13" s="123" t="str">
        <f t="shared" si="4"/>
        <v>-</v>
      </c>
      <c r="Z13" s="123" t="str">
        <f t="shared" si="4"/>
        <v>-</v>
      </c>
      <c r="AA13" s="123" t="str">
        <f t="shared" si="4"/>
        <v>-</v>
      </c>
      <c r="AB13" s="123" t="str">
        <f t="shared" si="4"/>
        <v>-</v>
      </c>
      <c r="AC13" s="123" t="str">
        <f t="shared" si="4"/>
        <v>-</v>
      </c>
      <c r="AD13" s="123" t="str">
        <f t="shared" si="4"/>
        <v>-</v>
      </c>
      <c r="AE13" s="123" t="str">
        <f t="shared" si="4"/>
        <v>-</v>
      </c>
      <c r="AF13" s="123" t="str">
        <f t="shared" si="4"/>
        <v>-</v>
      </c>
    </row>
    <row r="14">
      <c r="A14" s="121" t="s">
        <v>99</v>
      </c>
      <c r="B14" s="122">
        <v>10795.96</v>
      </c>
      <c r="C14" s="122">
        <v>9574.23</v>
      </c>
      <c r="D14" s="122">
        <v>7461.6</v>
      </c>
      <c r="E14" s="122">
        <v>5688.34</v>
      </c>
      <c r="F14" s="122">
        <v>16979.86</v>
      </c>
      <c r="G14" s="122">
        <v>24824.55</v>
      </c>
      <c r="H14" s="122">
        <v>24052.31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85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106</v>
      </c>
      <c r="B16" s="27" t="s">
        <v>1</v>
      </c>
      <c r="C16" s="28" t="s">
        <v>2</v>
      </c>
      <c r="D16" s="29" t="s">
        <v>3</v>
      </c>
      <c r="E16" s="28" t="s">
        <v>4</v>
      </c>
      <c r="F16" s="29" t="s">
        <v>5</v>
      </c>
      <c r="G16" s="29" t="s">
        <v>6</v>
      </c>
      <c r="H16" s="28" t="s">
        <v>7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 t="s">
        <v>110</v>
      </c>
      <c r="C17" s="78">
        <f>SUM(B21:AF21)</f>
        <v>0</v>
      </c>
      <c r="D17" s="135"/>
      <c r="E17" s="91"/>
      <c r="F17" s="78">
        <f>C17/M3*M2</f>
        <v>0</v>
      </c>
      <c r="G17" s="136"/>
      <c r="H17" s="78"/>
      <c r="I17" s="114"/>
      <c r="J17" s="115">
        <f>C17/M3</f>
        <v>0</v>
      </c>
      <c r="K17" s="13"/>
      <c r="L17" s="13"/>
    </row>
    <row r="18">
      <c r="A18" s="112" t="s">
        <v>94</v>
      </c>
      <c r="B18" s="113" t="s">
        <v>110</v>
      </c>
      <c r="C18" s="132" t="str">
        <f>IFERROR(C19/C17,"-")</f>
        <v>-</v>
      </c>
      <c r="D18" s="93"/>
      <c r="E18" s="84"/>
      <c r="F18" s="132" t="str">
        <f>IFERROR(F19/F17,"-")</f>
        <v>-</v>
      </c>
      <c r="H18" s="79"/>
      <c r="I18" s="78"/>
      <c r="J18" s="116"/>
      <c r="K18" s="13"/>
      <c r="L18" s="13"/>
    </row>
    <row r="19">
      <c r="A19" s="112" t="s">
        <v>95</v>
      </c>
      <c r="B19" s="113" t="s">
        <v>110</v>
      </c>
      <c r="C19" s="78">
        <f>SUM(B23:AE23)</f>
        <v>94.38</v>
      </c>
      <c r="D19" s="135"/>
      <c r="E19" s="78"/>
      <c r="F19" s="78">
        <f>C19/M3*M2</f>
        <v>417.9685714</v>
      </c>
      <c r="G19" s="136"/>
      <c r="H19" s="78"/>
      <c r="I19" s="78"/>
      <c r="J19" s="91">
        <f>C19/M3</f>
        <v>13.48285714</v>
      </c>
      <c r="K19" s="87"/>
      <c r="L19" s="13"/>
    </row>
    <row r="20">
      <c r="A20" s="119" t="s">
        <v>111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>
        <v>0.0</v>
      </c>
      <c r="C21" s="122">
        <v>0.0</v>
      </c>
      <c r="D21" s="122">
        <v>0.0</v>
      </c>
      <c r="E21" s="122">
        <v>0.0</v>
      </c>
      <c r="F21" s="122">
        <v>0.0</v>
      </c>
      <c r="G21" s="122">
        <v>0.0</v>
      </c>
      <c r="H21" s="122">
        <v>0.0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>
      <c r="A22" s="121" t="s">
        <v>94</v>
      </c>
      <c r="B22" s="123" t="str">
        <f t="shared" ref="B22:AF22" si="5">IFERROR(B23/B21,"-")</f>
        <v>-</v>
      </c>
      <c r="C22" s="123" t="str">
        <f t="shared" si="5"/>
        <v>-</v>
      </c>
      <c r="D22" s="123" t="str">
        <f t="shared" si="5"/>
        <v>-</v>
      </c>
      <c r="E22" s="123" t="str">
        <f t="shared" si="5"/>
        <v>-</v>
      </c>
      <c r="F22" s="123" t="str">
        <f t="shared" si="5"/>
        <v>-</v>
      </c>
      <c r="G22" s="123" t="str">
        <f t="shared" si="5"/>
        <v>-</v>
      </c>
      <c r="H22" s="123" t="str">
        <f t="shared" si="5"/>
        <v>-</v>
      </c>
      <c r="I22" s="123" t="str">
        <f t="shared" si="5"/>
        <v>-</v>
      </c>
      <c r="J22" s="123" t="str">
        <f t="shared" si="5"/>
        <v>-</v>
      </c>
      <c r="K22" s="123" t="str">
        <f t="shared" si="5"/>
        <v>-</v>
      </c>
      <c r="L22" s="123" t="str">
        <f t="shared" si="5"/>
        <v>-</v>
      </c>
      <c r="M22" s="123" t="str">
        <f t="shared" si="5"/>
        <v>-</v>
      </c>
      <c r="N22" s="123" t="str">
        <f t="shared" si="5"/>
        <v>-</v>
      </c>
      <c r="O22" s="123" t="str">
        <f t="shared" si="5"/>
        <v>-</v>
      </c>
      <c r="P22" s="123" t="str">
        <f t="shared" si="5"/>
        <v>-</v>
      </c>
      <c r="Q22" s="123" t="str">
        <f t="shared" si="5"/>
        <v>-</v>
      </c>
      <c r="R22" s="123" t="str">
        <f t="shared" si="5"/>
        <v>-</v>
      </c>
      <c r="S22" s="123" t="str">
        <f t="shared" si="5"/>
        <v>-</v>
      </c>
      <c r="T22" s="123" t="str">
        <f t="shared" si="5"/>
        <v>-</v>
      </c>
      <c r="U22" s="123" t="str">
        <f t="shared" si="5"/>
        <v>-</v>
      </c>
      <c r="V22" s="123" t="str">
        <f t="shared" si="5"/>
        <v>-</v>
      </c>
      <c r="W22" s="123" t="str">
        <f t="shared" si="5"/>
        <v>-</v>
      </c>
      <c r="X22" s="123" t="str">
        <f t="shared" si="5"/>
        <v>-</v>
      </c>
      <c r="Y22" s="123" t="str">
        <f t="shared" si="5"/>
        <v>-</v>
      </c>
      <c r="Z22" s="123" t="str">
        <f t="shared" si="5"/>
        <v>-</v>
      </c>
      <c r="AA22" s="123" t="str">
        <f t="shared" si="5"/>
        <v>-</v>
      </c>
      <c r="AB22" s="123" t="str">
        <f t="shared" si="5"/>
        <v>-</v>
      </c>
      <c r="AC22" s="123" t="str">
        <f t="shared" si="5"/>
        <v>-</v>
      </c>
      <c r="AD22" s="123" t="str">
        <f t="shared" si="5"/>
        <v>-</v>
      </c>
      <c r="AE22" s="123" t="str">
        <f t="shared" si="5"/>
        <v>-</v>
      </c>
      <c r="AF22" s="123" t="str">
        <f t="shared" si="5"/>
        <v>-</v>
      </c>
    </row>
    <row r="23">
      <c r="A23" s="121" t="s">
        <v>99</v>
      </c>
      <c r="B23" s="122">
        <v>0.0</v>
      </c>
      <c r="C23" s="122">
        <v>26.84</v>
      </c>
      <c r="D23" s="122">
        <v>24.22</v>
      </c>
      <c r="E23" s="122">
        <v>0.0</v>
      </c>
      <c r="F23" s="122">
        <v>10.34</v>
      </c>
      <c r="G23" s="122">
        <v>32.98</v>
      </c>
      <c r="H23" s="122">
        <v>0.0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>
      <c r="A24" s="35"/>
      <c r="B24" s="53"/>
      <c r="C24" s="53"/>
      <c r="D24" s="53"/>
      <c r="E24" s="53"/>
      <c r="F24" s="55"/>
      <c r="G24" s="55"/>
      <c r="H24" s="54"/>
      <c r="I24" s="54"/>
      <c r="J24" s="54"/>
      <c r="K24" s="54"/>
      <c r="L24" s="54"/>
    </row>
    <row r="25">
      <c r="A25" s="26" t="s">
        <v>112</v>
      </c>
      <c r="B25" s="27" t="s">
        <v>1</v>
      </c>
      <c r="C25" s="28" t="s">
        <v>2</v>
      </c>
      <c r="D25" s="29" t="s">
        <v>3</v>
      </c>
      <c r="E25" s="28" t="s">
        <v>4</v>
      </c>
      <c r="F25" s="29" t="s">
        <v>5</v>
      </c>
      <c r="G25" s="29" t="s">
        <v>6</v>
      </c>
      <c r="H25" s="28" t="s">
        <v>7</v>
      </c>
      <c r="I25" s="28" t="s">
        <v>8</v>
      </c>
      <c r="J25" s="29" t="s">
        <v>10</v>
      </c>
      <c r="K25" s="16"/>
      <c r="L25" s="51"/>
    </row>
    <row r="26">
      <c r="A26" s="112" t="s">
        <v>93</v>
      </c>
      <c r="B26" s="113">
        <v>40.0</v>
      </c>
      <c r="C26" s="78">
        <f>SUM(B30:AF30)</f>
        <v>6</v>
      </c>
      <c r="D26" s="93">
        <f>C26/B26</f>
        <v>0.15</v>
      </c>
      <c r="E26" s="91">
        <f>B26-C26</f>
        <v>34</v>
      </c>
      <c r="F26" s="78">
        <f>C26/M3*M2</f>
        <v>26.57142857</v>
      </c>
      <c r="G26" s="124">
        <f t="shared" ref="G26:G28" si="6">F26/B26</f>
        <v>0.6642857143</v>
      </c>
      <c r="H26" s="78">
        <f>F26-B26</f>
        <v>-13.42857143</v>
      </c>
      <c r="I26" s="114">
        <f>E26/(M2-M3)</f>
        <v>1.416666667</v>
      </c>
      <c r="J26" s="115">
        <f>C26/M3</f>
        <v>0.8571428571</v>
      </c>
      <c r="K26" s="79"/>
      <c r="L26" s="79"/>
    </row>
    <row r="27">
      <c r="A27" s="112" t="s">
        <v>94</v>
      </c>
      <c r="B27" s="78">
        <f>B28/B26</f>
        <v>6000</v>
      </c>
      <c r="C27" s="132">
        <f>IFERROR(C28/C26,"-")</f>
        <v>7977.191667</v>
      </c>
      <c r="D27" s="93"/>
      <c r="E27" s="79"/>
      <c r="F27" s="78">
        <f>F28/F26</f>
        <v>7977.191667</v>
      </c>
      <c r="G27" s="93">
        <f t="shared" si="6"/>
        <v>1.329531944</v>
      </c>
      <c r="H27" s="79"/>
      <c r="I27" s="78"/>
      <c r="J27" s="116"/>
      <c r="K27" s="79"/>
      <c r="L27" s="79"/>
    </row>
    <row r="28">
      <c r="A28" s="112" t="s">
        <v>95</v>
      </c>
      <c r="B28" s="113">
        <v>240000.0</v>
      </c>
      <c r="C28" s="78">
        <f>SUM(B32:AF32)+C37</f>
        <v>47863.15</v>
      </c>
      <c r="D28" s="93">
        <f>C28/B28</f>
        <v>0.1994297917</v>
      </c>
      <c r="E28" s="78">
        <f>B28-C28</f>
        <v>192136.85</v>
      </c>
      <c r="F28" s="78">
        <f>C28/M3*M2</f>
        <v>211965.3786</v>
      </c>
      <c r="G28" s="124">
        <f t="shared" si="6"/>
        <v>0.8831890774</v>
      </c>
      <c r="H28" s="78">
        <f>F28-B28</f>
        <v>-28034.62143</v>
      </c>
      <c r="I28" s="78">
        <f>E28/(M2-M3)</f>
        <v>8005.702083</v>
      </c>
      <c r="J28" s="91">
        <f>C28/M3</f>
        <v>6837.592857</v>
      </c>
      <c r="K28" s="79"/>
      <c r="L28" s="79"/>
    </row>
    <row r="29">
      <c r="A29" s="119" t="s">
        <v>101</v>
      </c>
      <c r="B29" s="120">
        <v>44531.0</v>
      </c>
      <c r="C29" s="120">
        <v>44532.0</v>
      </c>
      <c r="D29" s="120">
        <v>44533.0</v>
      </c>
      <c r="E29" s="120">
        <v>44534.0</v>
      </c>
      <c r="F29" s="120">
        <v>44535.0</v>
      </c>
      <c r="G29" s="120">
        <v>44536.0</v>
      </c>
      <c r="H29" s="120">
        <v>44537.0</v>
      </c>
      <c r="I29" s="120">
        <v>44538.0</v>
      </c>
      <c r="J29" s="120">
        <v>44539.0</v>
      </c>
      <c r="K29" s="120">
        <v>44540.0</v>
      </c>
      <c r="L29" s="120">
        <v>44541.0</v>
      </c>
      <c r="M29" s="120">
        <v>44542.0</v>
      </c>
      <c r="N29" s="120">
        <v>44543.0</v>
      </c>
      <c r="O29" s="120">
        <v>44544.0</v>
      </c>
      <c r="P29" s="120">
        <v>44545.0</v>
      </c>
      <c r="Q29" s="120">
        <v>44546.0</v>
      </c>
      <c r="R29" s="120">
        <v>44547.0</v>
      </c>
      <c r="S29" s="120">
        <v>44548.0</v>
      </c>
      <c r="T29" s="120">
        <v>44549.0</v>
      </c>
      <c r="U29" s="120">
        <v>44550.0</v>
      </c>
      <c r="V29" s="120">
        <v>44551.0</v>
      </c>
      <c r="W29" s="120">
        <v>44552.0</v>
      </c>
      <c r="X29" s="120">
        <v>44553.0</v>
      </c>
      <c r="Y29" s="120">
        <v>44554.0</v>
      </c>
      <c r="Z29" s="120">
        <v>44555.0</v>
      </c>
      <c r="AA29" s="120">
        <v>44556.0</v>
      </c>
      <c r="AB29" s="120">
        <v>44557.0</v>
      </c>
      <c r="AC29" s="120">
        <v>44558.0</v>
      </c>
      <c r="AD29" s="120">
        <v>44559.0</v>
      </c>
      <c r="AE29" s="120">
        <v>44560.0</v>
      </c>
      <c r="AF29" s="120">
        <v>44561.0</v>
      </c>
    </row>
    <row r="30">
      <c r="A30" s="121" t="s">
        <v>93</v>
      </c>
      <c r="B30" s="122">
        <v>2.0</v>
      </c>
      <c r="C30" s="122">
        <v>0.0</v>
      </c>
      <c r="D30" s="122">
        <v>0.0</v>
      </c>
      <c r="E30" s="122">
        <v>1.0</v>
      </c>
      <c r="F30" s="122">
        <v>1.0</v>
      </c>
      <c r="G30" s="122">
        <v>1.0</v>
      </c>
      <c r="H30" s="122">
        <v>1.0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>
      <c r="A31" s="121" t="s">
        <v>94</v>
      </c>
      <c r="B31" s="123">
        <f t="shared" ref="B31:AF31" si="7">IFERROR(B32/B30,"-")</f>
        <v>2621.34</v>
      </c>
      <c r="C31" s="123" t="str">
        <f t="shared" si="7"/>
        <v>-</v>
      </c>
      <c r="D31" s="123" t="str">
        <f t="shared" si="7"/>
        <v>-</v>
      </c>
      <c r="E31" s="123">
        <f t="shared" si="7"/>
        <v>3471.27</v>
      </c>
      <c r="F31" s="123">
        <f t="shared" si="7"/>
        <v>5735</v>
      </c>
      <c r="G31" s="123">
        <f t="shared" si="7"/>
        <v>12198.1</v>
      </c>
      <c r="H31" s="123">
        <f t="shared" si="7"/>
        <v>10939.77</v>
      </c>
      <c r="I31" s="123" t="str">
        <f t="shared" si="7"/>
        <v>-</v>
      </c>
      <c r="J31" s="123" t="str">
        <f t="shared" si="7"/>
        <v>-</v>
      </c>
      <c r="K31" s="123" t="str">
        <f t="shared" si="7"/>
        <v>-</v>
      </c>
      <c r="L31" s="123" t="str">
        <f t="shared" si="7"/>
        <v>-</v>
      </c>
      <c r="M31" s="123" t="str">
        <f t="shared" si="7"/>
        <v>-</v>
      </c>
      <c r="N31" s="123" t="str">
        <f t="shared" si="7"/>
        <v>-</v>
      </c>
      <c r="O31" s="123" t="str">
        <f t="shared" si="7"/>
        <v>-</v>
      </c>
      <c r="P31" s="123" t="str">
        <f t="shared" si="7"/>
        <v>-</v>
      </c>
      <c r="Q31" s="123" t="str">
        <f t="shared" si="7"/>
        <v>-</v>
      </c>
      <c r="R31" s="123" t="str">
        <f t="shared" si="7"/>
        <v>-</v>
      </c>
      <c r="S31" s="123" t="str">
        <f t="shared" si="7"/>
        <v>-</v>
      </c>
      <c r="T31" s="123" t="str">
        <f t="shared" si="7"/>
        <v>-</v>
      </c>
      <c r="U31" s="123" t="str">
        <f t="shared" si="7"/>
        <v>-</v>
      </c>
      <c r="V31" s="123" t="str">
        <f t="shared" si="7"/>
        <v>-</v>
      </c>
      <c r="W31" s="123" t="str">
        <f t="shared" si="7"/>
        <v>-</v>
      </c>
      <c r="X31" s="123" t="str">
        <f t="shared" si="7"/>
        <v>-</v>
      </c>
      <c r="Y31" s="123" t="str">
        <f t="shared" si="7"/>
        <v>-</v>
      </c>
      <c r="Z31" s="123" t="str">
        <f t="shared" si="7"/>
        <v>-</v>
      </c>
      <c r="AA31" s="123" t="str">
        <f t="shared" si="7"/>
        <v>-</v>
      </c>
      <c r="AB31" s="123" t="str">
        <f t="shared" si="7"/>
        <v>-</v>
      </c>
      <c r="AC31" s="123" t="str">
        <f t="shared" si="7"/>
        <v>-</v>
      </c>
      <c r="AD31" s="123" t="str">
        <f t="shared" si="7"/>
        <v>-</v>
      </c>
      <c r="AE31" s="123" t="str">
        <f t="shared" si="7"/>
        <v>-</v>
      </c>
      <c r="AF31" s="123" t="str">
        <f t="shared" si="7"/>
        <v>-</v>
      </c>
    </row>
    <row r="32">
      <c r="A32" s="121" t="s">
        <v>99</v>
      </c>
      <c r="B32" s="122">
        <v>5242.68</v>
      </c>
      <c r="C32" s="122">
        <v>5165.17</v>
      </c>
      <c r="D32" s="122">
        <v>5108.17</v>
      </c>
      <c r="E32" s="122">
        <v>3471.27</v>
      </c>
      <c r="F32" s="122">
        <v>5735.0</v>
      </c>
      <c r="G32" s="122">
        <v>12198.1</v>
      </c>
      <c r="H32" s="122">
        <v>10939.77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4">
      <c r="A34" s="26" t="s">
        <v>113</v>
      </c>
      <c r="B34" s="27" t="s">
        <v>1</v>
      </c>
      <c r="C34" s="28" t="s">
        <v>2</v>
      </c>
      <c r="D34" s="29" t="s">
        <v>3</v>
      </c>
      <c r="E34" s="28" t="s">
        <v>4</v>
      </c>
      <c r="F34" s="29" t="s">
        <v>5</v>
      </c>
      <c r="G34" s="29" t="s">
        <v>6</v>
      </c>
      <c r="H34" s="28" t="s">
        <v>7</v>
      </c>
      <c r="I34" s="28" t="s">
        <v>8</v>
      </c>
      <c r="J34" s="29" t="s">
        <v>10</v>
      </c>
      <c r="K34" s="16"/>
      <c r="L34" s="51"/>
    </row>
    <row r="35">
      <c r="A35" s="112" t="s">
        <v>93</v>
      </c>
      <c r="B35" s="113" t="s">
        <v>110</v>
      </c>
      <c r="C35" s="78">
        <f>SUM(B39:AF39)</f>
        <v>0</v>
      </c>
      <c r="D35" s="135"/>
      <c r="E35" s="91"/>
      <c r="F35" s="78"/>
      <c r="H35" s="78"/>
      <c r="I35" s="114"/>
      <c r="J35" s="115"/>
      <c r="K35" s="79"/>
      <c r="L35" s="79"/>
    </row>
    <row r="36">
      <c r="A36" s="112" t="s">
        <v>94</v>
      </c>
      <c r="B36" s="113" t="s">
        <v>110</v>
      </c>
      <c r="C36" s="132" t="str">
        <f>IFERROR(C37/C35,"-")</f>
        <v>-</v>
      </c>
      <c r="D36" s="93"/>
      <c r="E36" s="79"/>
      <c r="F36" s="78"/>
      <c r="H36" s="79"/>
      <c r="I36" s="78"/>
      <c r="J36" s="116"/>
      <c r="K36" s="79"/>
      <c r="L36" s="79"/>
    </row>
    <row r="37">
      <c r="A37" s="112" t="s">
        <v>95</v>
      </c>
      <c r="B37" s="113" t="s">
        <v>110</v>
      </c>
      <c r="C37" s="78">
        <f>SUM(B41:AF41)</f>
        <v>2.99</v>
      </c>
      <c r="D37" s="93"/>
      <c r="E37" s="78"/>
      <c r="F37" s="78"/>
      <c r="G37" s="124"/>
      <c r="H37" s="78"/>
      <c r="I37" s="78"/>
      <c r="J37" s="91"/>
      <c r="K37" s="79"/>
      <c r="L37" s="79"/>
    </row>
    <row r="38">
      <c r="A38" s="119" t="s">
        <v>114</v>
      </c>
      <c r="B38" s="120">
        <v>44531.0</v>
      </c>
      <c r="C38" s="120">
        <v>44532.0</v>
      </c>
      <c r="D38" s="120">
        <v>44533.0</v>
      </c>
      <c r="E38" s="120">
        <v>44534.0</v>
      </c>
      <c r="F38" s="120">
        <v>44535.0</v>
      </c>
      <c r="G38" s="120">
        <v>44536.0</v>
      </c>
      <c r="H38" s="120">
        <v>44537.0</v>
      </c>
      <c r="I38" s="120">
        <v>44538.0</v>
      </c>
      <c r="J38" s="120">
        <v>44539.0</v>
      </c>
      <c r="K38" s="120">
        <v>44540.0</v>
      </c>
      <c r="L38" s="120">
        <v>44541.0</v>
      </c>
      <c r="M38" s="120">
        <v>44542.0</v>
      </c>
      <c r="N38" s="120">
        <v>44543.0</v>
      </c>
      <c r="O38" s="120">
        <v>44544.0</v>
      </c>
      <c r="P38" s="120">
        <v>44545.0</v>
      </c>
      <c r="Q38" s="120">
        <v>44546.0</v>
      </c>
      <c r="R38" s="120">
        <v>44547.0</v>
      </c>
      <c r="S38" s="120">
        <v>44548.0</v>
      </c>
      <c r="T38" s="120">
        <v>44549.0</v>
      </c>
      <c r="U38" s="120">
        <v>44550.0</v>
      </c>
      <c r="V38" s="120">
        <v>44551.0</v>
      </c>
      <c r="W38" s="120">
        <v>44552.0</v>
      </c>
      <c r="X38" s="120">
        <v>44553.0</v>
      </c>
      <c r="Y38" s="120">
        <v>44554.0</v>
      </c>
      <c r="Z38" s="120">
        <v>44555.0</v>
      </c>
      <c r="AA38" s="120">
        <v>44556.0</v>
      </c>
      <c r="AB38" s="120">
        <v>44557.0</v>
      </c>
      <c r="AC38" s="120">
        <v>44558.0</v>
      </c>
      <c r="AD38" s="120">
        <v>44559.0</v>
      </c>
      <c r="AE38" s="120">
        <v>44560.0</v>
      </c>
      <c r="AF38" s="120">
        <v>44561.0</v>
      </c>
    </row>
    <row r="39">
      <c r="A39" s="121" t="s">
        <v>93</v>
      </c>
      <c r="B39" s="122">
        <v>0.0</v>
      </c>
      <c r="C39" s="122">
        <v>0.0</v>
      </c>
      <c r="D39" s="122">
        <v>0.0</v>
      </c>
      <c r="E39" s="122">
        <v>0.0</v>
      </c>
      <c r="F39" s="122">
        <v>0.0</v>
      </c>
      <c r="G39" s="122">
        <v>0.0</v>
      </c>
      <c r="H39" s="122">
        <v>0.0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</row>
    <row r="40">
      <c r="A40" s="121" t="s">
        <v>94</v>
      </c>
      <c r="B40" s="123" t="str">
        <f t="shared" ref="B40:AF40" si="8">IFERROR(B41/B39,"-")</f>
        <v>-</v>
      </c>
      <c r="C40" s="123" t="str">
        <f t="shared" si="8"/>
        <v>-</v>
      </c>
      <c r="D40" s="123" t="str">
        <f t="shared" si="8"/>
        <v>-</v>
      </c>
      <c r="E40" s="123" t="str">
        <f t="shared" si="8"/>
        <v>-</v>
      </c>
      <c r="F40" s="123" t="str">
        <f t="shared" si="8"/>
        <v>-</v>
      </c>
      <c r="G40" s="123" t="str">
        <f t="shared" si="8"/>
        <v>-</v>
      </c>
      <c r="H40" s="123" t="str">
        <f t="shared" si="8"/>
        <v>-</v>
      </c>
      <c r="I40" s="123" t="str">
        <f t="shared" si="8"/>
        <v>-</v>
      </c>
      <c r="J40" s="123" t="str">
        <f t="shared" si="8"/>
        <v>-</v>
      </c>
      <c r="K40" s="123" t="str">
        <f t="shared" si="8"/>
        <v>-</v>
      </c>
      <c r="L40" s="123" t="str">
        <f t="shared" si="8"/>
        <v>-</v>
      </c>
      <c r="M40" s="123" t="str">
        <f t="shared" si="8"/>
        <v>-</v>
      </c>
      <c r="N40" s="123" t="str">
        <f t="shared" si="8"/>
        <v>-</v>
      </c>
      <c r="O40" s="123" t="str">
        <f t="shared" si="8"/>
        <v>-</v>
      </c>
      <c r="P40" s="123" t="str">
        <f t="shared" si="8"/>
        <v>-</v>
      </c>
      <c r="Q40" s="123" t="str">
        <f t="shared" si="8"/>
        <v>-</v>
      </c>
      <c r="R40" s="123" t="str">
        <f t="shared" si="8"/>
        <v>-</v>
      </c>
      <c r="S40" s="123" t="str">
        <f t="shared" si="8"/>
        <v>-</v>
      </c>
      <c r="T40" s="123" t="str">
        <f t="shared" si="8"/>
        <v>-</v>
      </c>
      <c r="U40" s="123" t="str">
        <f t="shared" si="8"/>
        <v>-</v>
      </c>
      <c r="V40" s="123" t="str">
        <f t="shared" si="8"/>
        <v>-</v>
      </c>
      <c r="W40" s="123" t="str">
        <f t="shared" si="8"/>
        <v>-</v>
      </c>
      <c r="X40" s="123" t="str">
        <f t="shared" si="8"/>
        <v>-</v>
      </c>
      <c r="Y40" s="123" t="str">
        <f t="shared" si="8"/>
        <v>-</v>
      </c>
      <c r="Z40" s="123" t="str">
        <f t="shared" si="8"/>
        <v>-</v>
      </c>
      <c r="AA40" s="123" t="str">
        <f t="shared" si="8"/>
        <v>-</v>
      </c>
      <c r="AB40" s="123" t="str">
        <f t="shared" si="8"/>
        <v>-</v>
      </c>
      <c r="AC40" s="123" t="str">
        <f t="shared" si="8"/>
        <v>-</v>
      </c>
      <c r="AD40" s="123" t="str">
        <f t="shared" si="8"/>
        <v>-</v>
      </c>
      <c r="AE40" s="123" t="str">
        <f t="shared" si="8"/>
        <v>-</v>
      </c>
      <c r="AF40" s="123" t="str">
        <f t="shared" si="8"/>
        <v>-</v>
      </c>
    </row>
    <row r="41">
      <c r="A41" s="121" t="s">
        <v>99</v>
      </c>
      <c r="B41" s="122">
        <v>0.0</v>
      </c>
      <c r="C41" s="122">
        <v>0.85</v>
      </c>
      <c r="D41" s="122">
        <v>0.0</v>
      </c>
      <c r="E41" s="122">
        <v>1.75</v>
      </c>
      <c r="F41" s="122">
        <v>0.0</v>
      </c>
      <c r="G41" s="122">
        <v>0.0</v>
      </c>
      <c r="H41" s="122">
        <v>0.39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</row>
    <row r="42">
      <c r="A42" s="125"/>
      <c r="B42" s="9"/>
      <c r="C42" s="13"/>
      <c r="D42" s="13"/>
      <c r="E42" s="13"/>
      <c r="F42" s="126"/>
      <c r="G42" s="126"/>
      <c r="H42" s="16"/>
      <c r="I42" s="16"/>
      <c r="J42" s="126"/>
      <c r="K42" s="16"/>
    </row>
    <row r="43">
      <c r="A43" s="125"/>
      <c r="B43" s="9"/>
      <c r="C43" s="13"/>
      <c r="D43" s="13"/>
      <c r="E43" s="13"/>
      <c r="F43" s="126"/>
      <c r="G43" s="126"/>
      <c r="H43" s="16"/>
      <c r="I43" s="16"/>
      <c r="J43" s="126"/>
      <c r="K43" s="16"/>
    </row>
    <row r="44">
      <c r="A44" s="125"/>
      <c r="B44" s="9"/>
      <c r="C44" s="13"/>
      <c r="D44" s="13"/>
      <c r="E44" s="13"/>
      <c r="F44" s="126"/>
      <c r="G44" s="126"/>
      <c r="H44" s="16"/>
      <c r="I44" s="16"/>
      <c r="J44" s="126"/>
      <c r="K44" s="16"/>
    </row>
    <row r="45">
      <c r="A45" s="100" t="s">
        <v>102</v>
      </c>
      <c r="B45" s="101" t="s">
        <v>1</v>
      </c>
      <c r="C45" s="102" t="s">
        <v>2</v>
      </c>
      <c r="D45" s="127" t="s">
        <v>3</v>
      </c>
      <c r="E45" s="102" t="s">
        <v>4</v>
      </c>
      <c r="F45" s="103" t="s">
        <v>5</v>
      </c>
      <c r="G45" s="103" t="s">
        <v>6</v>
      </c>
      <c r="H45" s="104" t="s">
        <v>7</v>
      </c>
      <c r="I45" s="104" t="s">
        <v>8</v>
      </c>
      <c r="J45" s="103" t="s">
        <v>10</v>
      </c>
      <c r="K45" s="16"/>
    </row>
    <row r="46">
      <c r="A46" s="105" t="s">
        <v>93</v>
      </c>
      <c r="B46" s="9">
        <f t="shared" ref="B46:C46" si="9">B52+B70</f>
        <v>120</v>
      </c>
      <c r="C46" s="9">
        <f t="shared" si="9"/>
        <v>69</v>
      </c>
      <c r="D46" s="10">
        <f>C46/B46</f>
        <v>0.575</v>
      </c>
      <c r="E46" s="9">
        <f>B46-C46</f>
        <v>51</v>
      </c>
      <c r="F46" s="9"/>
      <c r="G46" s="10"/>
      <c r="H46" s="9"/>
      <c r="I46" s="106"/>
      <c r="J46" s="46">
        <f>C46/30</f>
        <v>2.3</v>
      </c>
      <c r="K46" s="107"/>
      <c r="M46" s="91"/>
      <c r="N46" s="108"/>
    </row>
    <row r="47">
      <c r="A47" s="105" t="s">
        <v>94</v>
      </c>
      <c r="B47" s="8">
        <f>B48/B46</f>
        <v>6000</v>
      </c>
      <c r="C47" s="130">
        <f>IFERROR(C48/C46,"-")</f>
        <v>7057.365797</v>
      </c>
      <c r="D47" s="10"/>
      <c r="E47" s="109"/>
      <c r="F47" s="9"/>
      <c r="G47" s="10"/>
      <c r="H47" s="109"/>
      <c r="I47" s="109"/>
      <c r="J47" s="107"/>
      <c r="K47" s="107"/>
      <c r="M47" s="91"/>
      <c r="N47" s="108"/>
    </row>
    <row r="48">
      <c r="A48" s="105" t="s">
        <v>95</v>
      </c>
      <c r="B48" s="9">
        <f>B54+B72</f>
        <v>720000</v>
      </c>
      <c r="C48" s="9">
        <f>C54+C72+C81</f>
        <v>486958.24</v>
      </c>
      <c r="D48" s="10">
        <f>C48/B48</f>
        <v>0.6763308889</v>
      </c>
      <c r="E48" s="9">
        <f>B48-C48</f>
        <v>233041.76</v>
      </c>
      <c r="F48" s="9"/>
      <c r="G48" s="10"/>
      <c r="H48" s="9"/>
      <c r="I48" s="19"/>
      <c r="J48" s="19">
        <f>C48/30</f>
        <v>16231.94133</v>
      </c>
      <c r="K48" s="107"/>
    </row>
    <row r="50">
      <c r="A50" s="110" t="s">
        <v>96</v>
      </c>
      <c r="B50" s="22"/>
      <c r="C50" s="23"/>
      <c r="D50" s="23"/>
      <c r="E50" s="23"/>
      <c r="F50" s="23"/>
      <c r="G50" s="23"/>
      <c r="H50" s="23"/>
      <c r="I50" s="23"/>
      <c r="J50" s="23"/>
      <c r="K50" s="24"/>
      <c r="L50" s="24"/>
    </row>
    <row r="51">
      <c r="A51" s="26" t="s">
        <v>109</v>
      </c>
      <c r="B51" s="27" t="s">
        <v>1</v>
      </c>
      <c r="C51" s="28" t="s">
        <v>2</v>
      </c>
      <c r="D51" s="29" t="s">
        <v>3</v>
      </c>
      <c r="E51" s="28" t="s">
        <v>4</v>
      </c>
      <c r="F51" s="29" t="s">
        <v>5</v>
      </c>
      <c r="G51" s="29" t="s">
        <v>6</v>
      </c>
      <c r="H51" s="28" t="s">
        <v>7</v>
      </c>
      <c r="I51" s="28" t="s">
        <v>8</v>
      </c>
      <c r="J51" s="29" t="s">
        <v>10</v>
      </c>
      <c r="K51" s="16"/>
      <c r="L51" s="111"/>
    </row>
    <row r="52">
      <c r="A52" s="112" t="s">
        <v>93</v>
      </c>
      <c r="B52" s="113">
        <v>80.0</v>
      </c>
      <c r="C52" s="78">
        <f>SUM(B56:AF56)+SUM(B65:AF65)</f>
        <v>29</v>
      </c>
      <c r="D52" s="93">
        <f>C52/B52</f>
        <v>0.3625</v>
      </c>
      <c r="E52" s="91">
        <f>B52-C52</f>
        <v>51</v>
      </c>
      <c r="F52" s="78"/>
      <c r="G52" s="93"/>
      <c r="H52" s="78"/>
      <c r="I52" s="114"/>
      <c r="J52" s="115">
        <f>C52/30</f>
        <v>0.9666666667</v>
      </c>
      <c r="K52" s="116"/>
      <c r="L52" s="13"/>
    </row>
    <row r="53">
      <c r="A53" s="112" t="s">
        <v>94</v>
      </c>
      <c r="B53" s="78">
        <f>B54/B52</f>
        <v>6000</v>
      </c>
      <c r="C53" s="132">
        <f>IFERROR(C54/C52,"-")</f>
        <v>10414.59069</v>
      </c>
      <c r="D53" s="93"/>
      <c r="E53" s="79"/>
      <c r="F53" s="78"/>
      <c r="G53" s="93"/>
      <c r="H53" s="116"/>
      <c r="I53" s="117"/>
      <c r="J53" s="116"/>
      <c r="K53" s="116"/>
      <c r="L53" s="13"/>
    </row>
    <row r="54">
      <c r="A54" s="112" t="s">
        <v>95</v>
      </c>
      <c r="B54" s="113">
        <v>480000.0</v>
      </c>
      <c r="C54" s="78">
        <f>SUM(B58:AF58)-233+SUM(B67:AF67)</f>
        <v>302023.13</v>
      </c>
      <c r="D54" s="93">
        <f>C54/B54</f>
        <v>0.6292148542</v>
      </c>
      <c r="E54" s="78">
        <f>B54-C54</f>
        <v>177976.87</v>
      </c>
      <c r="F54" s="78"/>
      <c r="G54" s="93"/>
      <c r="H54" s="78"/>
      <c r="I54" s="78"/>
      <c r="J54" s="91">
        <f>C54/30</f>
        <v>10067.43767</v>
      </c>
      <c r="K54" s="118"/>
      <c r="L54" s="13"/>
    </row>
    <row r="55">
      <c r="A55" s="119" t="s">
        <v>98</v>
      </c>
      <c r="B55" s="120">
        <v>44501.0</v>
      </c>
      <c r="C55" s="120">
        <v>44502.0</v>
      </c>
      <c r="D55" s="120">
        <v>44503.0</v>
      </c>
      <c r="E55" s="120">
        <v>44504.0</v>
      </c>
      <c r="F55" s="120">
        <v>44505.0</v>
      </c>
      <c r="G55" s="120">
        <v>44506.0</v>
      </c>
      <c r="H55" s="120">
        <v>44507.0</v>
      </c>
      <c r="I55" s="120">
        <v>44508.0</v>
      </c>
      <c r="J55" s="120">
        <v>44509.0</v>
      </c>
      <c r="K55" s="120">
        <v>44510.0</v>
      </c>
      <c r="L55" s="120">
        <v>44511.0</v>
      </c>
      <c r="M55" s="120">
        <v>44512.0</v>
      </c>
      <c r="N55" s="120">
        <v>44513.0</v>
      </c>
      <c r="O55" s="120">
        <v>44514.0</v>
      </c>
      <c r="P55" s="120">
        <v>44515.0</v>
      </c>
      <c r="Q55" s="120">
        <v>44516.0</v>
      </c>
      <c r="R55" s="120">
        <v>44517.0</v>
      </c>
      <c r="S55" s="120">
        <v>44518.0</v>
      </c>
      <c r="T55" s="120">
        <v>44519.0</v>
      </c>
      <c r="U55" s="120">
        <v>44520.0</v>
      </c>
      <c r="V55" s="120">
        <v>44521.0</v>
      </c>
      <c r="W55" s="120">
        <v>44522.0</v>
      </c>
      <c r="X55" s="120">
        <v>44523.0</v>
      </c>
      <c r="Y55" s="120">
        <v>44524.0</v>
      </c>
      <c r="Z55" s="120">
        <v>44525.0</v>
      </c>
      <c r="AA55" s="120">
        <v>44526.0</v>
      </c>
      <c r="AB55" s="120">
        <v>44527.0</v>
      </c>
      <c r="AC55" s="120">
        <v>44528.0</v>
      </c>
      <c r="AD55" s="120">
        <v>44529.0</v>
      </c>
      <c r="AE55" s="120">
        <v>44530.0</v>
      </c>
      <c r="AF55" s="120"/>
    </row>
    <row r="56">
      <c r="A56" s="121" t="s">
        <v>93</v>
      </c>
      <c r="B56" s="122">
        <v>1.0</v>
      </c>
      <c r="C56" s="122">
        <v>0.0</v>
      </c>
      <c r="D56" s="122">
        <v>0.0</v>
      </c>
      <c r="E56" s="122">
        <v>0.0</v>
      </c>
      <c r="F56" s="122">
        <v>0.0</v>
      </c>
      <c r="G56" s="122">
        <v>1.0</v>
      </c>
      <c r="H56" s="122">
        <v>1.0</v>
      </c>
      <c r="I56" s="122">
        <v>1.0</v>
      </c>
      <c r="J56" s="122">
        <v>2.0</v>
      </c>
      <c r="K56" s="122">
        <v>2.0</v>
      </c>
      <c r="L56" s="122">
        <v>0.0</v>
      </c>
      <c r="M56" s="122">
        <v>1.0</v>
      </c>
      <c r="N56" s="122">
        <v>0.0</v>
      </c>
      <c r="O56" s="122">
        <v>2.0</v>
      </c>
      <c r="P56" s="122">
        <v>0.0</v>
      </c>
      <c r="Q56" s="122">
        <v>0.0</v>
      </c>
      <c r="R56" s="122">
        <v>6.0</v>
      </c>
      <c r="S56" s="122">
        <v>0.0</v>
      </c>
      <c r="T56" s="122">
        <v>2.0</v>
      </c>
      <c r="U56" s="122">
        <v>0.0</v>
      </c>
      <c r="V56" s="122">
        <v>2.0</v>
      </c>
      <c r="W56" s="122">
        <v>1.0</v>
      </c>
      <c r="X56" s="122">
        <v>1.0</v>
      </c>
      <c r="Y56" s="122">
        <v>0.0</v>
      </c>
      <c r="Z56" s="122">
        <v>1.0</v>
      </c>
      <c r="AA56" s="122">
        <v>1.0</v>
      </c>
      <c r="AB56" s="122">
        <v>0.0</v>
      </c>
      <c r="AC56" s="122">
        <v>1.0</v>
      </c>
      <c r="AD56" s="122">
        <v>1.0</v>
      </c>
      <c r="AE56" s="122">
        <v>0.0</v>
      </c>
      <c r="AF56" s="122"/>
    </row>
    <row r="57">
      <c r="A57" s="121" t="s">
        <v>94</v>
      </c>
      <c r="B57" s="123">
        <f t="shared" ref="B57:AE57" si="10">IFERROR(B58/B56,"-")</f>
        <v>11313.72</v>
      </c>
      <c r="C57" s="123" t="str">
        <f t="shared" si="10"/>
        <v>-</v>
      </c>
      <c r="D57" s="123" t="str">
        <f t="shared" si="10"/>
        <v>-</v>
      </c>
      <c r="E57" s="123" t="str">
        <f t="shared" si="10"/>
        <v>-</v>
      </c>
      <c r="F57" s="123" t="str">
        <f t="shared" si="10"/>
        <v>-</v>
      </c>
      <c r="G57" s="123">
        <f t="shared" si="10"/>
        <v>7451.66</v>
      </c>
      <c r="H57" s="123">
        <f t="shared" si="10"/>
        <v>11594.12</v>
      </c>
      <c r="I57" s="123">
        <f t="shared" si="10"/>
        <v>10933.5</v>
      </c>
      <c r="J57" s="123">
        <f t="shared" si="10"/>
        <v>4983.89</v>
      </c>
      <c r="K57" s="123">
        <f t="shared" si="10"/>
        <v>4759.005</v>
      </c>
      <c r="L57" s="123" t="str">
        <f t="shared" si="10"/>
        <v>-</v>
      </c>
      <c r="M57" s="123">
        <f t="shared" si="10"/>
        <v>9296.92</v>
      </c>
      <c r="N57" s="123" t="str">
        <f t="shared" si="10"/>
        <v>-</v>
      </c>
      <c r="O57" s="123">
        <f t="shared" si="10"/>
        <v>4071.77</v>
      </c>
      <c r="P57" s="123" t="str">
        <f t="shared" si="10"/>
        <v>-</v>
      </c>
      <c r="Q57" s="123" t="str">
        <f t="shared" si="10"/>
        <v>-</v>
      </c>
      <c r="R57" s="123">
        <f t="shared" si="10"/>
        <v>1240.396667</v>
      </c>
      <c r="S57" s="123" t="str">
        <f t="shared" si="10"/>
        <v>-</v>
      </c>
      <c r="T57" s="123">
        <f t="shared" si="10"/>
        <v>4556.205</v>
      </c>
      <c r="U57" s="123" t="str">
        <f t="shared" si="10"/>
        <v>-</v>
      </c>
      <c r="V57" s="123">
        <f t="shared" si="10"/>
        <v>4332.915</v>
      </c>
      <c r="W57" s="123">
        <f t="shared" si="10"/>
        <v>10306.96</v>
      </c>
      <c r="X57" s="123">
        <f t="shared" si="10"/>
        <v>13325.15</v>
      </c>
      <c r="Y57" s="123" t="str">
        <f t="shared" si="10"/>
        <v>-</v>
      </c>
      <c r="Z57" s="123">
        <f t="shared" si="10"/>
        <v>13754.64</v>
      </c>
      <c r="AA57" s="123">
        <f t="shared" si="10"/>
        <v>9959.97</v>
      </c>
      <c r="AB57" s="123" t="str">
        <f t="shared" si="10"/>
        <v>-</v>
      </c>
      <c r="AC57" s="123">
        <f t="shared" si="10"/>
        <v>7975.9</v>
      </c>
      <c r="AD57" s="123">
        <f t="shared" si="10"/>
        <v>18305.83</v>
      </c>
      <c r="AE57" s="123" t="str">
        <f t="shared" si="10"/>
        <v>-</v>
      </c>
      <c r="AF57" s="123"/>
    </row>
    <row r="58">
      <c r="A58" s="121" t="s">
        <v>99</v>
      </c>
      <c r="B58" s="122">
        <v>11313.72</v>
      </c>
      <c r="C58" s="122">
        <v>8104.33</v>
      </c>
      <c r="D58" s="122">
        <v>14054.09</v>
      </c>
      <c r="E58" s="122">
        <v>11408.22</v>
      </c>
      <c r="F58" s="122">
        <v>9637.49</v>
      </c>
      <c r="G58" s="122">
        <v>7451.66</v>
      </c>
      <c r="H58" s="122">
        <v>11594.12</v>
      </c>
      <c r="I58" s="122">
        <v>10933.5</v>
      </c>
      <c r="J58" s="122">
        <v>9967.78</v>
      </c>
      <c r="K58" s="122">
        <v>9518.01</v>
      </c>
      <c r="L58" s="122">
        <v>10275.16</v>
      </c>
      <c r="M58" s="122">
        <v>9296.92</v>
      </c>
      <c r="N58" s="122">
        <v>8095.96</v>
      </c>
      <c r="O58" s="122">
        <v>8143.54</v>
      </c>
      <c r="P58" s="122">
        <v>9560.73</v>
      </c>
      <c r="Q58" s="122">
        <v>8398.32</v>
      </c>
      <c r="R58" s="122">
        <v>7442.38</v>
      </c>
      <c r="S58" s="122">
        <v>8061.35</v>
      </c>
      <c r="T58" s="122">
        <v>9112.41</v>
      </c>
      <c r="U58" s="122">
        <v>7582.67</v>
      </c>
      <c r="V58" s="122">
        <v>8665.83</v>
      </c>
      <c r="W58" s="122">
        <v>10306.96</v>
      </c>
      <c r="X58" s="122">
        <v>13325.15</v>
      </c>
      <c r="Y58" s="122">
        <v>10636.1</v>
      </c>
      <c r="Z58" s="122">
        <v>13754.64</v>
      </c>
      <c r="AA58" s="122">
        <v>9959.97</v>
      </c>
      <c r="AB58" s="122">
        <v>8610.0</v>
      </c>
      <c r="AC58" s="122">
        <v>7975.9</v>
      </c>
      <c r="AD58" s="122">
        <v>18305.83</v>
      </c>
      <c r="AE58" s="122">
        <v>6896.64</v>
      </c>
      <c r="AF58" s="122"/>
    </row>
    <row r="59">
      <c r="A59" s="51"/>
      <c r="B59" s="87"/>
      <c r="C59" s="85"/>
      <c r="D59" s="85"/>
      <c r="E59" s="85"/>
      <c r="F59" s="85"/>
      <c r="G59" s="85"/>
      <c r="H59" s="85"/>
      <c r="I59" s="85"/>
      <c r="J59" s="85"/>
      <c r="K59" s="51"/>
      <c r="L59" s="51"/>
    </row>
    <row r="60">
      <c r="A60" s="26" t="s">
        <v>106</v>
      </c>
      <c r="B60" s="27" t="s">
        <v>1</v>
      </c>
      <c r="C60" s="28" t="s">
        <v>2</v>
      </c>
      <c r="D60" s="29" t="s">
        <v>3</v>
      </c>
      <c r="E60" s="28" t="s">
        <v>4</v>
      </c>
      <c r="F60" s="29" t="s">
        <v>5</v>
      </c>
      <c r="G60" s="29" t="s">
        <v>6</v>
      </c>
      <c r="H60" s="28" t="s">
        <v>7</v>
      </c>
      <c r="I60" s="28" t="s">
        <v>8</v>
      </c>
      <c r="J60" s="29" t="s">
        <v>10</v>
      </c>
      <c r="K60" s="16"/>
      <c r="L60" s="51"/>
    </row>
    <row r="61">
      <c r="A61" s="112" t="s">
        <v>93</v>
      </c>
      <c r="B61" s="113" t="s">
        <v>110</v>
      </c>
      <c r="C61" s="78">
        <f>SUM(B65:AF65)</f>
        <v>2</v>
      </c>
      <c r="D61" s="135"/>
      <c r="E61" s="91"/>
      <c r="F61" s="78"/>
      <c r="G61" s="136"/>
      <c r="H61" s="78"/>
      <c r="I61" s="114"/>
      <c r="J61" s="115">
        <f>C61/30</f>
        <v>0.06666666667</v>
      </c>
      <c r="K61" s="13"/>
      <c r="L61" s="13"/>
    </row>
    <row r="62">
      <c r="A62" s="112" t="s">
        <v>94</v>
      </c>
      <c r="B62" s="113" t="s">
        <v>110</v>
      </c>
      <c r="C62" s="132">
        <f>IFERROR(C63/C61,"-")</f>
        <v>1933.375</v>
      </c>
      <c r="D62" s="93"/>
      <c r="E62" s="84"/>
      <c r="F62" s="132"/>
      <c r="H62" s="79"/>
      <c r="I62" s="78"/>
      <c r="J62" s="116"/>
      <c r="K62" s="13"/>
      <c r="L62" s="13"/>
    </row>
    <row r="63">
      <c r="A63" s="112" t="s">
        <v>95</v>
      </c>
      <c r="B63" s="113" t="s">
        <v>110</v>
      </c>
      <c r="C63" s="78">
        <f>SUM(B67:AE67)</f>
        <v>3866.75</v>
      </c>
      <c r="D63" s="135"/>
      <c r="E63" s="78"/>
      <c r="F63" s="78"/>
      <c r="G63" s="136"/>
      <c r="H63" s="78"/>
      <c r="I63" s="78"/>
      <c r="J63" s="91">
        <f>C63/30</f>
        <v>128.8916667</v>
      </c>
      <c r="K63" s="87"/>
      <c r="L63" s="13"/>
    </row>
    <row r="64">
      <c r="A64" s="119" t="s">
        <v>111</v>
      </c>
      <c r="B64" s="120">
        <v>44501.0</v>
      </c>
      <c r="C64" s="120">
        <v>44502.0</v>
      </c>
      <c r="D64" s="120">
        <v>44503.0</v>
      </c>
      <c r="E64" s="120">
        <v>44504.0</v>
      </c>
      <c r="F64" s="120">
        <v>44505.0</v>
      </c>
      <c r="G64" s="120">
        <v>44506.0</v>
      </c>
      <c r="H64" s="120">
        <v>44507.0</v>
      </c>
      <c r="I64" s="120">
        <v>44508.0</v>
      </c>
      <c r="J64" s="120">
        <v>44509.0</v>
      </c>
      <c r="K64" s="120">
        <v>44510.0</v>
      </c>
      <c r="L64" s="120">
        <v>44511.0</v>
      </c>
      <c r="M64" s="120">
        <v>44512.0</v>
      </c>
      <c r="N64" s="120">
        <v>44513.0</v>
      </c>
      <c r="O64" s="120">
        <v>44514.0</v>
      </c>
      <c r="P64" s="120">
        <v>44515.0</v>
      </c>
      <c r="Q64" s="120">
        <v>44516.0</v>
      </c>
      <c r="R64" s="120">
        <v>44517.0</v>
      </c>
      <c r="S64" s="120">
        <v>44518.0</v>
      </c>
      <c r="T64" s="120">
        <v>44519.0</v>
      </c>
      <c r="U64" s="120">
        <v>44520.0</v>
      </c>
      <c r="V64" s="120">
        <v>44521.0</v>
      </c>
      <c r="W64" s="120">
        <v>44522.0</v>
      </c>
      <c r="X64" s="120">
        <v>44523.0</v>
      </c>
      <c r="Y64" s="120">
        <v>44524.0</v>
      </c>
      <c r="Z64" s="120">
        <v>44525.0</v>
      </c>
      <c r="AA64" s="120">
        <v>44526.0</v>
      </c>
      <c r="AB64" s="120">
        <v>44527.0</v>
      </c>
      <c r="AC64" s="120">
        <v>44528.0</v>
      </c>
      <c r="AD64" s="120">
        <v>44529.0</v>
      </c>
      <c r="AE64" s="120">
        <v>44530.0</v>
      </c>
      <c r="AF64" s="120"/>
    </row>
    <row r="65">
      <c r="A65" s="121" t="s">
        <v>93</v>
      </c>
      <c r="B65" s="122">
        <v>0.0</v>
      </c>
      <c r="C65" s="122">
        <v>0.0</v>
      </c>
      <c r="D65" s="122">
        <v>0.0</v>
      </c>
      <c r="E65" s="122">
        <v>0.0</v>
      </c>
      <c r="F65" s="122">
        <v>0.0</v>
      </c>
      <c r="G65" s="122">
        <v>0.0</v>
      </c>
      <c r="H65" s="122">
        <v>1.0</v>
      </c>
      <c r="I65" s="122">
        <v>0.0</v>
      </c>
      <c r="J65" s="122">
        <v>0.0</v>
      </c>
      <c r="K65" s="122">
        <v>0.0</v>
      </c>
      <c r="L65" s="122">
        <v>0.0</v>
      </c>
      <c r="M65" s="122">
        <v>0.0</v>
      </c>
      <c r="N65" s="122">
        <v>0.0</v>
      </c>
      <c r="O65" s="122">
        <v>0.0</v>
      </c>
      <c r="P65" s="122">
        <v>0.0</v>
      </c>
      <c r="Q65" s="122">
        <v>0.0</v>
      </c>
      <c r="R65" s="122">
        <v>0.0</v>
      </c>
      <c r="S65" s="122">
        <v>0.0</v>
      </c>
      <c r="T65" s="122">
        <v>1.0</v>
      </c>
      <c r="U65" s="122">
        <v>0.0</v>
      </c>
      <c r="V65" s="122">
        <v>0.0</v>
      </c>
      <c r="W65" s="122">
        <v>0.0</v>
      </c>
      <c r="X65" s="122">
        <v>0.0</v>
      </c>
      <c r="Y65" s="122">
        <v>0.0</v>
      </c>
      <c r="Z65" s="122">
        <v>0.0</v>
      </c>
      <c r="AA65" s="122">
        <v>0.0</v>
      </c>
      <c r="AB65" s="122">
        <v>0.0</v>
      </c>
      <c r="AC65" s="122">
        <v>0.0</v>
      </c>
      <c r="AD65" s="122">
        <v>0.0</v>
      </c>
      <c r="AE65" s="122">
        <v>0.0</v>
      </c>
      <c r="AF65" s="122"/>
    </row>
    <row r="66">
      <c r="A66" s="121" t="s">
        <v>94</v>
      </c>
      <c r="B66" s="123" t="str">
        <f t="shared" ref="B66:AE66" si="11">IFERROR(B67/B65,"-")</f>
        <v>-</v>
      </c>
      <c r="C66" s="123" t="str">
        <f t="shared" si="11"/>
        <v>-</v>
      </c>
      <c r="D66" s="123" t="str">
        <f t="shared" si="11"/>
        <v>-</v>
      </c>
      <c r="E66" s="123" t="str">
        <f t="shared" si="11"/>
        <v>-</v>
      </c>
      <c r="F66" s="123" t="str">
        <f t="shared" si="11"/>
        <v>-</v>
      </c>
      <c r="G66" s="123" t="str">
        <f t="shared" si="11"/>
        <v>-</v>
      </c>
      <c r="H66" s="123">
        <f t="shared" si="11"/>
        <v>3236.35</v>
      </c>
      <c r="I66" s="123" t="str">
        <f t="shared" si="11"/>
        <v>-</v>
      </c>
      <c r="J66" s="123" t="str">
        <f t="shared" si="11"/>
        <v>-</v>
      </c>
      <c r="K66" s="123" t="str">
        <f t="shared" si="11"/>
        <v>-</v>
      </c>
      <c r="L66" s="123" t="str">
        <f t="shared" si="11"/>
        <v>-</v>
      </c>
      <c r="M66" s="123" t="str">
        <f t="shared" si="11"/>
        <v>-</v>
      </c>
      <c r="N66" s="123" t="str">
        <f t="shared" si="11"/>
        <v>-</v>
      </c>
      <c r="O66" s="123" t="str">
        <f t="shared" si="11"/>
        <v>-</v>
      </c>
      <c r="P66" s="123" t="str">
        <f t="shared" si="11"/>
        <v>-</v>
      </c>
      <c r="Q66" s="123" t="str">
        <f t="shared" si="11"/>
        <v>-</v>
      </c>
      <c r="R66" s="123" t="str">
        <f t="shared" si="11"/>
        <v>-</v>
      </c>
      <c r="S66" s="123" t="str">
        <f t="shared" si="11"/>
        <v>-</v>
      </c>
      <c r="T66" s="123">
        <f t="shared" si="11"/>
        <v>0</v>
      </c>
      <c r="U66" s="123" t="str">
        <f t="shared" si="11"/>
        <v>-</v>
      </c>
      <c r="V66" s="123" t="str">
        <f t="shared" si="11"/>
        <v>-</v>
      </c>
      <c r="W66" s="123" t="str">
        <f t="shared" si="11"/>
        <v>-</v>
      </c>
      <c r="X66" s="123" t="str">
        <f t="shared" si="11"/>
        <v>-</v>
      </c>
      <c r="Y66" s="123" t="str">
        <f t="shared" si="11"/>
        <v>-</v>
      </c>
      <c r="Z66" s="123" t="str">
        <f t="shared" si="11"/>
        <v>-</v>
      </c>
      <c r="AA66" s="123" t="str">
        <f t="shared" si="11"/>
        <v>-</v>
      </c>
      <c r="AB66" s="123" t="str">
        <f t="shared" si="11"/>
        <v>-</v>
      </c>
      <c r="AC66" s="123" t="str">
        <f t="shared" si="11"/>
        <v>-</v>
      </c>
      <c r="AD66" s="123" t="str">
        <f t="shared" si="11"/>
        <v>-</v>
      </c>
      <c r="AE66" s="123" t="str">
        <f t="shared" si="11"/>
        <v>-</v>
      </c>
      <c r="AF66" s="123"/>
    </row>
    <row r="67">
      <c r="A67" s="121" t="s">
        <v>99</v>
      </c>
      <c r="B67" s="122">
        <v>76.13</v>
      </c>
      <c r="C67" s="122">
        <v>114.54</v>
      </c>
      <c r="D67" s="122">
        <v>62.76</v>
      </c>
      <c r="E67" s="122">
        <v>32.42</v>
      </c>
      <c r="F67" s="122">
        <v>176.52</v>
      </c>
      <c r="G67" s="122">
        <v>61.21</v>
      </c>
      <c r="H67" s="122">
        <v>3236.35</v>
      </c>
      <c r="I67" s="122">
        <v>0.0</v>
      </c>
      <c r="J67" s="122">
        <v>0.0</v>
      </c>
      <c r="K67" s="122">
        <v>0.0</v>
      </c>
      <c r="L67" s="122">
        <v>0.0</v>
      </c>
      <c r="M67" s="122">
        <v>0.0</v>
      </c>
      <c r="N67" s="122">
        <v>0.0</v>
      </c>
      <c r="O67" s="122">
        <v>25.49</v>
      </c>
      <c r="P67" s="122">
        <v>9.91</v>
      </c>
      <c r="Q67" s="122">
        <v>0.0</v>
      </c>
      <c r="R67" s="122">
        <v>0.0</v>
      </c>
      <c r="S67" s="122">
        <v>0.0</v>
      </c>
      <c r="T67" s="122">
        <v>0.0</v>
      </c>
      <c r="U67" s="122">
        <v>0.0</v>
      </c>
      <c r="V67" s="122">
        <v>0.0</v>
      </c>
      <c r="W67" s="122">
        <v>0.0</v>
      </c>
      <c r="X67" s="122">
        <v>0.0</v>
      </c>
      <c r="Y67" s="122">
        <v>0.0</v>
      </c>
      <c r="Z67" s="122">
        <v>0.0</v>
      </c>
      <c r="AA67" s="122">
        <v>0.0</v>
      </c>
      <c r="AB67" s="122">
        <v>0.0</v>
      </c>
      <c r="AC67" s="122">
        <v>33.1</v>
      </c>
      <c r="AD67" s="122">
        <v>38.32</v>
      </c>
      <c r="AE67" s="122">
        <v>0.0</v>
      </c>
      <c r="AF67" s="122"/>
    </row>
    <row r="68">
      <c r="A68" s="35"/>
      <c r="B68" s="53"/>
      <c r="C68" s="53"/>
      <c r="D68" s="53"/>
      <c r="E68" s="53"/>
      <c r="F68" s="55"/>
      <c r="G68" s="55"/>
      <c r="H68" s="54"/>
      <c r="I68" s="54"/>
      <c r="J68" s="54"/>
      <c r="K68" s="54"/>
      <c r="L68" s="54"/>
    </row>
    <row r="69">
      <c r="A69" s="26" t="s">
        <v>112</v>
      </c>
      <c r="B69" s="27" t="s">
        <v>1</v>
      </c>
      <c r="C69" s="28" t="s">
        <v>2</v>
      </c>
      <c r="D69" s="29" t="s">
        <v>3</v>
      </c>
      <c r="E69" s="28" t="s">
        <v>4</v>
      </c>
      <c r="F69" s="29" t="s">
        <v>5</v>
      </c>
      <c r="G69" s="29" t="s">
        <v>6</v>
      </c>
      <c r="H69" s="28" t="s">
        <v>7</v>
      </c>
      <c r="I69" s="28" t="s">
        <v>8</v>
      </c>
      <c r="J69" s="29" t="s">
        <v>10</v>
      </c>
      <c r="K69" s="16"/>
      <c r="L69" s="51"/>
    </row>
    <row r="70">
      <c r="A70" s="112" t="s">
        <v>93</v>
      </c>
      <c r="B70" s="113">
        <v>40.0</v>
      </c>
      <c r="C70" s="78">
        <f>SUM(B74:AF74)</f>
        <v>40</v>
      </c>
      <c r="D70" s="93">
        <f>C70/B70</f>
        <v>1</v>
      </c>
      <c r="E70" s="91">
        <f>B70-C70</f>
        <v>0</v>
      </c>
      <c r="F70" s="78"/>
      <c r="G70" s="124"/>
      <c r="H70" s="78"/>
      <c r="I70" s="114"/>
      <c r="J70" s="115">
        <f>C70/30</f>
        <v>1.333333333</v>
      </c>
      <c r="K70" s="79"/>
      <c r="L70" s="79"/>
    </row>
    <row r="71">
      <c r="A71" s="112" t="s">
        <v>94</v>
      </c>
      <c r="B71" s="78">
        <f>B72/B70</f>
        <v>6000</v>
      </c>
      <c r="C71" s="132">
        <f>IFERROR(C72/C70,"-")</f>
        <v>4621.57525</v>
      </c>
      <c r="D71" s="93"/>
      <c r="E71" s="79"/>
      <c r="F71" s="78"/>
      <c r="G71" s="93"/>
      <c r="H71" s="79"/>
      <c r="I71" s="78"/>
      <c r="J71" s="116"/>
      <c r="K71" s="79"/>
      <c r="L71" s="79"/>
    </row>
    <row r="72">
      <c r="A72" s="112" t="s">
        <v>95</v>
      </c>
      <c r="B72" s="113">
        <v>240000.0</v>
      </c>
      <c r="C72" s="78">
        <f>SUM(B76:AF76)-295+C81</f>
        <v>184863.01</v>
      </c>
      <c r="D72" s="93">
        <f>C72/B72</f>
        <v>0.7702625417</v>
      </c>
      <c r="E72" s="78">
        <f>B72-C72</f>
        <v>55136.99</v>
      </c>
      <c r="F72" s="78"/>
      <c r="G72" s="124"/>
      <c r="H72" s="78"/>
      <c r="I72" s="78"/>
      <c r="J72" s="91">
        <f>C72/30</f>
        <v>6162.100333</v>
      </c>
      <c r="K72" s="79"/>
      <c r="L72" s="79"/>
    </row>
    <row r="73">
      <c r="A73" s="119" t="s">
        <v>101</v>
      </c>
      <c r="B73" s="120">
        <v>44501.0</v>
      </c>
      <c r="C73" s="120">
        <v>44502.0</v>
      </c>
      <c r="D73" s="120">
        <v>44503.0</v>
      </c>
      <c r="E73" s="120">
        <v>44504.0</v>
      </c>
      <c r="F73" s="120">
        <v>44505.0</v>
      </c>
      <c r="G73" s="120">
        <v>44506.0</v>
      </c>
      <c r="H73" s="120">
        <v>44507.0</v>
      </c>
      <c r="I73" s="120">
        <v>44508.0</v>
      </c>
      <c r="J73" s="120">
        <v>44509.0</v>
      </c>
      <c r="K73" s="120">
        <v>44510.0</v>
      </c>
      <c r="L73" s="120">
        <v>44511.0</v>
      </c>
      <c r="M73" s="120">
        <v>44512.0</v>
      </c>
      <c r="N73" s="120">
        <v>44513.0</v>
      </c>
      <c r="O73" s="120">
        <v>44514.0</v>
      </c>
      <c r="P73" s="120">
        <v>44515.0</v>
      </c>
      <c r="Q73" s="120">
        <v>44516.0</v>
      </c>
      <c r="R73" s="120">
        <v>44517.0</v>
      </c>
      <c r="S73" s="120">
        <v>44518.0</v>
      </c>
      <c r="T73" s="120">
        <v>44519.0</v>
      </c>
      <c r="U73" s="120">
        <v>44520.0</v>
      </c>
      <c r="V73" s="120">
        <v>44521.0</v>
      </c>
      <c r="W73" s="120">
        <v>44522.0</v>
      </c>
      <c r="X73" s="120">
        <v>44523.0</v>
      </c>
      <c r="Y73" s="120">
        <v>44524.0</v>
      </c>
      <c r="Z73" s="120">
        <v>44525.0</v>
      </c>
      <c r="AA73" s="120">
        <v>44526.0</v>
      </c>
      <c r="AB73" s="120">
        <v>44527.0</v>
      </c>
      <c r="AC73" s="120">
        <v>44528.0</v>
      </c>
      <c r="AD73" s="120">
        <v>44529.0</v>
      </c>
      <c r="AE73" s="120">
        <v>44530.0</v>
      </c>
      <c r="AF73" s="120"/>
    </row>
    <row r="74">
      <c r="A74" s="121" t="s">
        <v>93</v>
      </c>
      <c r="B74" s="122">
        <v>1.0</v>
      </c>
      <c r="C74" s="122">
        <v>0.0</v>
      </c>
      <c r="D74" s="122">
        <v>0.0</v>
      </c>
      <c r="E74" s="122">
        <v>1.0</v>
      </c>
      <c r="F74" s="122">
        <v>0.0</v>
      </c>
      <c r="G74" s="122">
        <v>1.0</v>
      </c>
      <c r="H74" s="122">
        <v>1.0</v>
      </c>
      <c r="I74" s="122">
        <v>1.0</v>
      </c>
      <c r="J74" s="122">
        <v>1.0</v>
      </c>
      <c r="K74" s="122">
        <v>1.0</v>
      </c>
      <c r="L74" s="122">
        <v>4.0</v>
      </c>
      <c r="M74" s="122">
        <v>0.0</v>
      </c>
      <c r="N74" s="122">
        <v>0.0</v>
      </c>
      <c r="O74" s="122">
        <v>0.0</v>
      </c>
      <c r="P74" s="122">
        <v>2.0</v>
      </c>
      <c r="Q74" s="122">
        <v>2.0</v>
      </c>
      <c r="R74" s="122">
        <v>3.0</v>
      </c>
      <c r="S74" s="122">
        <v>2.0</v>
      </c>
      <c r="T74" s="122">
        <v>1.0</v>
      </c>
      <c r="U74" s="122">
        <v>2.0</v>
      </c>
      <c r="V74" s="122">
        <v>1.0</v>
      </c>
      <c r="W74" s="122">
        <v>0.0</v>
      </c>
      <c r="X74" s="122">
        <v>0.0</v>
      </c>
      <c r="Y74" s="122">
        <v>2.0</v>
      </c>
      <c r="Z74" s="122">
        <v>0.0</v>
      </c>
      <c r="AA74" s="122">
        <v>0.0</v>
      </c>
      <c r="AB74" s="122">
        <v>4.0</v>
      </c>
      <c r="AC74" s="122">
        <v>4.0</v>
      </c>
      <c r="AD74" s="122">
        <v>2.0</v>
      </c>
      <c r="AE74" s="122">
        <v>4.0</v>
      </c>
      <c r="AF74" s="122"/>
    </row>
    <row r="75">
      <c r="A75" s="121" t="s">
        <v>94</v>
      </c>
      <c r="B75" s="123">
        <f t="shared" ref="B75:AE75" si="12">IFERROR(B76/B74,"-")</f>
        <v>4894.96</v>
      </c>
      <c r="C75" s="123" t="str">
        <f t="shared" si="12"/>
        <v>-</v>
      </c>
      <c r="D75" s="123" t="str">
        <f t="shared" si="12"/>
        <v>-</v>
      </c>
      <c r="E75" s="123">
        <f t="shared" si="12"/>
        <v>4321.96</v>
      </c>
      <c r="F75" s="123" t="str">
        <f t="shared" si="12"/>
        <v>-</v>
      </c>
      <c r="G75" s="123">
        <f t="shared" si="12"/>
        <v>3867.6</v>
      </c>
      <c r="H75" s="123">
        <f t="shared" si="12"/>
        <v>5030.56</v>
      </c>
      <c r="I75" s="123">
        <f t="shared" si="12"/>
        <v>5852.9</v>
      </c>
      <c r="J75" s="123">
        <f t="shared" si="12"/>
        <v>8687.49</v>
      </c>
      <c r="K75" s="123">
        <f t="shared" si="12"/>
        <v>6262.9</v>
      </c>
      <c r="L75" s="123">
        <f t="shared" si="12"/>
        <v>1371.085</v>
      </c>
      <c r="M75" s="123" t="str">
        <f t="shared" si="12"/>
        <v>-</v>
      </c>
      <c r="N75" s="123" t="str">
        <f t="shared" si="12"/>
        <v>-</v>
      </c>
      <c r="O75" s="123" t="str">
        <f t="shared" si="12"/>
        <v>-</v>
      </c>
      <c r="P75" s="123">
        <f t="shared" si="12"/>
        <v>2710.18</v>
      </c>
      <c r="Q75" s="123">
        <f t="shared" si="12"/>
        <v>3807.77</v>
      </c>
      <c r="R75" s="123">
        <f t="shared" si="12"/>
        <v>1586.323333</v>
      </c>
      <c r="S75" s="123">
        <f t="shared" si="12"/>
        <v>3594.44</v>
      </c>
      <c r="T75" s="123">
        <f t="shared" si="12"/>
        <v>7475.13</v>
      </c>
      <c r="U75" s="123">
        <f t="shared" si="12"/>
        <v>2402.89</v>
      </c>
      <c r="V75" s="123">
        <f t="shared" si="12"/>
        <v>10596</v>
      </c>
      <c r="W75" s="123" t="str">
        <f t="shared" si="12"/>
        <v>-</v>
      </c>
      <c r="X75" s="123" t="str">
        <f t="shared" si="12"/>
        <v>-</v>
      </c>
      <c r="Y75" s="123">
        <f t="shared" si="12"/>
        <v>4566.42</v>
      </c>
      <c r="Z75" s="123" t="str">
        <f t="shared" si="12"/>
        <v>-</v>
      </c>
      <c r="AA75" s="123" t="str">
        <f t="shared" si="12"/>
        <v>-</v>
      </c>
      <c r="AB75" s="123">
        <f t="shared" si="12"/>
        <v>2238.0775</v>
      </c>
      <c r="AC75" s="123">
        <f t="shared" si="12"/>
        <v>1312.84</v>
      </c>
      <c r="AD75" s="123">
        <f t="shared" si="12"/>
        <v>3085.905</v>
      </c>
      <c r="AE75" s="123">
        <f t="shared" si="12"/>
        <v>1523.5375</v>
      </c>
      <c r="AF75" s="123"/>
    </row>
    <row r="76">
      <c r="A76" s="121" t="s">
        <v>99</v>
      </c>
      <c r="B76" s="122">
        <v>4894.96</v>
      </c>
      <c r="C76" s="122">
        <v>5206.06</v>
      </c>
      <c r="D76" s="122">
        <v>2466.36</v>
      </c>
      <c r="E76" s="122">
        <v>4321.96</v>
      </c>
      <c r="F76" s="122">
        <v>3607.08</v>
      </c>
      <c r="G76" s="122">
        <v>3867.6</v>
      </c>
      <c r="H76" s="122">
        <v>5030.56</v>
      </c>
      <c r="I76" s="122">
        <v>5852.9</v>
      </c>
      <c r="J76" s="122">
        <v>8687.49</v>
      </c>
      <c r="K76" s="122">
        <v>6262.9</v>
      </c>
      <c r="L76" s="122">
        <v>5484.34</v>
      </c>
      <c r="M76" s="122">
        <v>4096.85</v>
      </c>
      <c r="N76" s="122">
        <v>6789.92</v>
      </c>
      <c r="O76" s="122">
        <v>8860.02</v>
      </c>
      <c r="P76" s="122">
        <v>5420.36</v>
      </c>
      <c r="Q76" s="122">
        <v>7615.54</v>
      </c>
      <c r="R76" s="122">
        <v>4758.97</v>
      </c>
      <c r="S76" s="122">
        <v>7188.88</v>
      </c>
      <c r="T76" s="122">
        <v>7475.13</v>
      </c>
      <c r="U76" s="122">
        <v>4805.78</v>
      </c>
      <c r="V76" s="122">
        <v>10596.0</v>
      </c>
      <c r="W76" s="122">
        <v>7560.07</v>
      </c>
      <c r="X76" s="122">
        <v>5466.29</v>
      </c>
      <c r="Y76" s="122">
        <v>9132.84</v>
      </c>
      <c r="Z76" s="122">
        <v>7959.18</v>
      </c>
      <c r="AA76" s="122">
        <v>5208.24</v>
      </c>
      <c r="AB76" s="122">
        <v>8952.31</v>
      </c>
      <c r="AC76" s="122">
        <v>5251.36</v>
      </c>
      <c r="AD76" s="122">
        <v>6171.81</v>
      </c>
      <c r="AE76" s="122">
        <v>6094.15</v>
      </c>
      <c r="AF76" s="122"/>
    </row>
    <row r="78">
      <c r="A78" s="26" t="s">
        <v>113</v>
      </c>
      <c r="B78" s="27" t="s">
        <v>1</v>
      </c>
      <c r="C78" s="28" t="s">
        <v>2</v>
      </c>
      <c r="D78" s="29" t="s">
        <v>3</v>
      </c>
      <c r="E78" s="28" t="s">
        <v>4</v>
      </c>
      <c r="F78" s="29" t="s">
        <v>5</v>
      </c>
      <c r="G78" s="29" t="s">
        <v>6</v>
      </c>
      <c r="H78" s="28" t="s">
        <v>7</v>
      </c>
      <c r="I78" s="28" t="s">
        <v>8</v>
      </c>
      <c r="J78" s="29" t="s">
        <v>10</v>
      </c>
      <c r="K78" s="16"/>
      <c r="L78" s="51"/>
    </row>
    <row r="79">
      <c r="A79" s="112" t="s">
        <v>93</v>
      </c>
      <c r="B79" s="113" t="s">
        <v>110</v>
      </c>
      <c r="C79" s="78">
        <f>SUM(B83:AF83)</f>
        <v>0</v>
      </c>
      <c r="D79" s="135"/>
      <c r="E79" s="91"/>
      <c r="F79" s="78"/>
      <c r="H79" s="78"/>
      <c r="I79" s="114"/>
      <c r="J79" s="115"/>
      <c r="K79" s="79"/>
      <c r="L79" s="79"/>
    </row>
    <row r="80">
      <c r="A80" s="112" t="s">
        <v>94</v>
      </c>
      <c r="B80" s="113" t="s">
        <v>110</v>
      </c>
      <c r="C80" s="132" t="str">
        <f>IFERROR(C81/C79,"-")</f>
        <v>-</v>
      </c>
      <c r="D80" s="93"/>
      <c r="E80" s="79"/>
      <c r="F80" s="78"/>
      <c r="H80" s="79"/>
      <c r="I80" s="78"/>
      <c r="J80" s="116"/>
      <c r="K80" s="79"/>
      <c r="L80" s="79"/>
    </row>
    <row r="81">
      <c r="A81" s="112" t="s">
        <v>95</v>
      </c>
      <c r="B81" s="113" t="s">
        <v>110</v>
      </c>
      <c r="C81" s="78">
        <f>SUM(B85:AF85)+1</f>
        <v>72.1</v>
      </c>
      <c r="D81" s="93"/>
      <c r="E81" s="78"/>
      <c r="F81" s="78"/>
      <c r="G81" s="124"/>
      <c r="H81" s="78"/>
      <c r="I81" s="78"/>
      <c r="J81" s="91"/>
      <c r="K81" s="79"/>
      <c r="L81" s="79"/>
    </row>
    <row r="82">
      <c r="A82" s="119" t="s">
        <v>114</v>
      </c>
      <c r="B82" s="120">
        <v>44501.0</v>
      </c>
      <c r="C82" s="120">
        <v>44502.0</v>
      </c>
      <c r="D82" s="120">
        <v>44503.0</v>
      </c>
      <c r="E82" s="120">
        <v>44504.0</v>
      </c>
      <c r="F82" s="120">
        <v>44505.0</v>
      </c>
      <c r="G82" s="120">
        <v>44506.0</v>
      </c>
      <c r="H82" s="120">
        <v>44507.0</v>
      </c>
      <c r="I82" s="120">
        <v>44508.0</v>
      </c>
      <c r="J82" s="120">
        <v>44509.0</v>
      </c>
      <c r="K82" s="120">
        <v>44510.0</v>
      </c>
      <c r="L82" s="120">
        <v>44511.0</v>
      </c>
      <c r="M82" s="120">
        <v>44512.0</v>
      </c>
      <c r="N82" s="120">
        <v>44513.0</v>
      </c>
      <c r="O82" s="120">
        <v>44514.0</v>
      </c>
      <c r="P82" s="120">
        <v>44515.0</v>
      </c>
      <c r="Q82" s="120">
        <v>44516.0</v>
      </c>
      <c r="R82" s="120">
        <v>44517.0</v>
      </c>
      <c r="S82" s="120">
        <v>44518.0</v>
      </c>
      <c r="T82" s="120">
        <v>44519.0</v>
      </c>
      <c r="U82" s="120">
        <v>44520.0</v>
      </c>
      <c r="V82" s="120">
        <v>44521.0</v>
      </c>
      <c r="W82" s="120">
        <v>44522.0</v>
      </c>
      <c r="X82" s="120">
        <v>44523.0</v>
      </c>
      <c r="Y82" s="120">
        <v>44524.0</v>
      </c>
      <c r="Z82" s="120">
        <v>44525.0</v>
      </c>
      <c r="AA82" s="120">
        <v>44526.0</v>
      </c>
      <c r="AB82" s="120">
        <v>44527.0</v>
      </c>
      <c r="AC82" s="120">
        <v>44528.0</v>
      </c>
      <c r="AD82" s="120">
        <v>44529.0</v>
      </c>
      <c r="AE82" s="120">
        <v>44530.0</v>
      </c>
      <c r="AF82" s="120"/>
    </row>
    <row r="83">
      <c r="A83" s="121" t="s">
        <v>93</v>
      </c>
      <c r="B83" s="122">
        <v>0.0</v>
      </c>
      <c r="C83" s="122">
        <v>0.0</v>
      </c>
      <c r="D83" s="122">
        <v>0.0</v>
      </c>
      <c r="E83" s="122">
        <v>0.0</v>
      </c>
      <c r="F83" s="122">
        <v>0.0</v>
      </c>
      <c r="G83" s="122">
        <v>0.0</v>
      </c>
      <c r="H83" s="122">
        <v>0.0</v>
      </c>
      <c r="I83" s="122">
        <v>0.0</v>
      </c>
      <c r="J83" s="122">
        <v>0.0</v>
      </c>
      <c r="K83" s="122">
        <v>0.0</v>
      </c>
      <c r="L83" s="122">
        <v>0.0</v>
      </c>
      <c r="M83" s="122">
        <v>0.0</v>
      </c>
      <c r="N83" s="122">
        <v>0.0</v>
      </c>
      <c r="O83" s="122">
        <v>0.0</v>
      </c>
      <c r="P83" s="122">
        <v>0.0</v>
      </c>
      <c r="Q83" s="122">
        <v>0.0</v>
      </c>
      <c r="R83" s="122">
        <v>0.0</v>
      </c>
      <c r="S83" s="122">
        <v>0.0</v>
      </c>
      <c r="T83" s="122">
        <v>0.0</v>
      </c>
      <c r="U83" s="122">
        <v>0.0</v>
      </c>
      <c r="V83" s="122">
        <v>0.0</v>
      </c>
      <c r="W83" s="122">
        <v>0.0</v>
      </c>
      <c r="X83" s="122">
        <v>0.0</v>
      </c>
      <c r="Y83" s="122">
        <v>0.0</v>
      </c>
      <c r="Z83" s="122">
        <v>0.0</v>
      </c>
      <c r="AA83" s="122">
        <v>0.0</v>
      </c>
      <c r="AB83" s="122">
        <v>0.0</v>
      </c>
      <c r="AC83" s="122">
        <v>0.0</v>
      </c>
      <c r="AD83" s="122">
        <v>0.0</v>
      </c>
      <c r="AE83" s="122">
        <v>0.0</v>
      </c>
      <c r="AF83" s="122"/>
    </row>
    <row r="84">
      <c r="A84" s="121" t="s">
        <v>94</v>
      </c>
      <c r="B84" s="123" t="str">
        <f t="shared" ref="B84:AE84" si="13">IFERROR(B85/B83,"-")</f>
        <v>-</v>
      </c>
      <c r="C84" s="123" t="str">
        <f t="shared" si="13"/>
        <v>-</v>
      </c>
      <c r="D84" s="123" t="str">
        <f t="shared" si="13"/>
        <v>-</v>
      </c>
      <c r="E84" s="123" t="str">
        <f t="shared" si="13"/>
        <v>-</v>
      </c>
      <c r="F84" s="123" t="str">
        <f t="shared" si="13"/>
        <v>-</v>
      </c>
      <c r="G84" s="123" t="str">
        <f t="shared" si="13"/>
        <v>-</v>
      </c>
      <c r="H84" s="123" t="str">
        <f t="shared" si="13"/>
        <v>-</v>
      </c>
      <c r="I84" s="123" t="str">
        <f t="shared" si="13"/>
        <v>-</v>
      </c>
      <c r="J84" s="123" t="str">
        <f t="shared" si="13"/>
        <v>-</v>
      </c>
      <c r="K84" s="123" t="str">
        <f t="shared" si="13"/>
        <v>-</v>
      </c>
      <c r="L84" s="123" t="str">
        <f t="shared" si="13"/>
        <v>-</v>
      </c>
      <c r="M84" s="123" t="str">
        <f t="shared" si="13"/>
        <v>-</v>
      </c>
      <c r="N84" s="123" t="str">
        <f t="shared" si="13"/>
        <v>-</v>
      </c>
      <c r="O84" s="123" t="str">
        <f t="shared" si="13"/>
        <v>-</v>
      </c>
      <c r="P84" s="123" t="str">
        <f t="shared" si="13"/>
        <v>-</v>
      </c>
      <c r="Q84" s="123" t="str">
        <f t="shared" si="13"/>
        <v>-</v>
      </c>
      <c r="R84" s="123" t="str">
        <f t="shared" si="13"/>
        <v>-</v>
      </c>
      <c r="S84" s="123" t="str">
        <f t="shared" si="13"/>
        <v>-</v>
      </c>
      <c r="T84" s="123" t="str">
        <f t="shared" si="13"/>
        <v>-</v>
      </c>
      <c r="U84" s="123" t="str">
        <f t="shared" si="13"/>
        <v>-</v>
      </c>
      <c r="V84" s="123" t="str">
        <f t="shared" si="13"/>
        <v>-</v>
      </c>
      <c r="W84" s="123" t="str">
        <f t="shared" si="13"/>
        <v>-</v>
      </c>
      <c r="X84" s="123" t="str">
        <f t="shared" si="13"/>
        <v>-</v>
      </c>
      <c r="Y84" s="123" t="str">
        <f t="shared" si="13"/>
        <v>-</v>
      </c>
      <c r="Z84" s="123" t="str">
        <f t="shared" si="13"/>
        <v>-</v>
      </c>
      <c r="AA84" s="123" t="str">
        <f t="shared" si="13"/>
        <v>-</v>
      </c>
      <c r="AB84" s="123" t="str">
        <f t="shared" si="13"/>
        <v>-</v>
      </c>
      <c r="AC84" s="123" t="str">
        <f t="shared" si="13"/>
        <v>-</v>
      </c>
      <c r="AD84" s="123" t="str">
        <f t="shared" si="13"/>
        <v>-</v>
      </c>
      <c r="AE84" s="123" t="str">
        <f t="shared" si="13"/>
        <v>-</v>
      </c>
      <c r="AF84" s="123"/>
    </row>
    <row r="85">
      <c r="A85" s="121" t="s">
        <v>99</v>
      </c>
      <c r="B85" s="122">
        <v>4.41</v>
      </c>
      <c r="C85" s="122">
        <v>3.62</v>
      </c>
      <c r="D85" s="122">
        <v>3.52</v>
      </c>
      <c r="E85" s="122">
        <v>7.67</v>
      </c>
      <c r="F85" s="122">
        <v>3.28</v>
      </c>
      <c r="G85" s="122">
        <v>0.61</v>
      </c>
      <c r="H85" s="122">
        <v>1.7</v>
      </c>
      <c r="I85" s="122">
        <v>2.41</v>
      </c>
      <c r="J85" s="122">
        <v>1.88</v>
      </c>
      <c r="K85" s="122">
        <v>2.4</v>
      </c>
      <c r="L85" s="122">
        <v>3.01</v>
      </c>
      <c r="M85" s="122">
        <v>2.38</v>
      </c>
      <c r="N85" s="122">
        <v>3.4</v>
      </c>
      <c r="O85" s="122">
        <v>3.83</v>
      </c>
      <c r="P85" s="122">
        <v>3.62</v>
      </c>
      <c r="Q85" s="122">
        <v>1.26</v>
      </c>
      <c r="R85" s="122">
        <v>0.2</v>
      </c>
      <c r="S85" s="122">
        <v>0.0</v>
      </c>
      <c r="T85" s="122">
        <v>0.47</v>
      </c>
      <c r="U85" s="122">
        <v>2.37</v>
      </c>
      <c r="V85" s="122">
        <v>2.48</v>
      </c>
      <c r="W85" s="122">
        <v>1.42</v>
      </c>
      <c r="X85" s="122">
        <v>0.27</v>
      </c>
      <c r="Y85" s="122">
        <v>2.48</v>
      </c>
      <c r="Z85" s="122">
        <v>9.59</v>
      </c>
      <c r="AA85" s="122">
        <v>0.35</v>
      </c>
      <c r="AB85" s="122">
        <v>2.17</v>
      </c>
      <c r="AC85" s="122">
        <v>0.0</v>
      </c>
      <c r="AD85" s="122">
        <v>0.0</v>
      </c>
      <c r="AE85" s="122">
        <v>0.3</v>
      </c>
      <c r="AF85" s="122"/>
    </row>
    <row r="86">
      <c r="A86" s="125"/>
      <c r="B86" s="9"/>
      <c r="C86" s="13"/>
      <c r="D86" s="13"/>
      <c r="E86" s="13"/>
      <c r="F86" s="126"/>
      <c r="G86" s="126"/>
      <c r="H86" s="16"/>
      <c r="I86" s="16"/>
      <c r="J86" s="126"/>
      <c r="K86" s="16"/>
    </row>
    <row r="87">
      <c r="A87" s="125"/>
      <c r="B87" s="9"/>
      <c r="C87" s="13"/>
      <c r="D87" s="13"/>
      <c r="E87" s="13"/>
      <c r="F87" s="126"/>
      <c r="G87" s="126"/>
      <c r="H87" s="16"/>
      <c r="I87" s="16"/>
      <c r="J87" s="126"/>
      <c r="K87" s="16"/>
    </row>
    <row r="88">
      <c r="A88" s="125"/>
      <c r="B88" s="9"/>
      <c r="C88" s="13"/>
      <c r="D88" s="13"/>
      <c r="E88" s="13"/>
      <c r="F88" s="126"/>
      <c r="G88" s="126"/>
      <c r="H88" s="16"/>
      <c r="I88" s="16"/>
      <c r="J88" s="126"/>
      <c r="K88" s="16"/>
    </row>
    <row r="89">
      <c r="A89" s="100" t="s">
        <v>103</v>
      </c>
      <c r="B89" s="101" t="s">
        <v>1</v>
      </c>
      <c r="C89" s="102" t="s">
        <v>2</v>
      </c>
      <c r="D89" s="127" t="s">
        <v>3</v>
      </c>
      <c r="E89" s="102" t="s">
        <v>4</v>
      </c>
      <c r="F89" s="103" t="s">
        <v>5</v>
      </c>
      <c r="G89" s="103" t="s">
        <v>6</v>
      </c>
      <c r="H89" s="104" t="s">
        <v>7</v>
      </c>
      <c r="I89" s="104" t="s">
        <v>8</v>
      </c>
      <c r="J89" s="103" t="s">
        <v>10</v>
      </c>
      <c r="K89" s="16"/>
    </row>
    <row r="90">
      <c r="A90" s="105" t="s">
        <v>93</v>
      </c>
      <c r="B90" s="9">
        <f t="shared" ref="B90:C90" si="14">B96+B114</f>
        <v>147</v>
      </c>
      <c r="C90" s="9">
        <f t="shared" si="14"/>
        <v>103</v>
      </c>
      <c r="D90" s="10">
        <f>C90/B90</f>
        <v>0.7006802721</v>
      </c>
      <c r="E90" s="9">
        <f>B90-C90</f>
        <v>44</v>
      </c>
      <c r="F90" s="9"/>
      <c r="G90" s="10"/>
      <c r="H90" s="9"/>
      <c r="I90" s="106"/>
      <c r="J90" s="46">
        <f>C90/31</f>
        <v>3.322580645</v>
      </c>
      <c r="K90" s="107"/>
      <c r="M90" s="91"/>
      <c r="N90" s="108"/>
    </row>
    <row r="91">
      <c r="A91" s="105" t="s">
        <v>94</v>
      </c>
      <c r="B91" s="8">
        <f>B92/B90</f>
        <v>6034.013605</v>
      </c>
      <c r="C91" s="130">
        <f>IFERROR(C92/C90,"-")</f>
        <v>5808.640291</v>
      </c>
      <c r="D91" s="10"/>
      <c r="E91" s="109"/>
      <c r="F91" s="9"/>
      <c r="G91" s="10"/>
      <c r="H91" s="109"/>
      <c r="I91" s="109"/>
      <c r="J91" s="107"/>
      <c r="K91" s="107"/>
      <c r="M91" s="91"/>
      <c r="N91" s="108"/>
    </row>
    <row r="92">
      <c r="A92" s="105" t="s">
        <v>95</v>
      </c>
      <c r="B92" s="9">
        <f t="shared" ref="B92:C92" si="15">B98+B116+B125</f>
        <v>887000</v>
      </c>
      <c r="C92" s="9">
        <f t="shared" si="15"/>
        <v>598289.95</v>
      </c>
      <c r="D92" s="10">
        <f>C92/B92</f>
        <v>0.6745095265</v>
      </c>
      <c r="E92" s="9">
        <f>B92-C92</f>
        <v>288710.05</v>
      </c>
      <c r="F92" s="9"/>
      <c r="G92" s="10"/>
      <c r="H92" s="9"/>
      <c r="I92" s="19"/>
      <c r="J92" s="19">
        <f>C92/31</f>
        <v>19299.67581</v>
      </c>
      <c r="K92" s="107"/>
    </row>
    <row r="94">
      <c r="A94" s="110" t="s">
        <v>96</v>
      </c>
      <c r="B94" s="22"/>
      <c r="C94" s="23"/>
      <c r="D94" s="23"/>
      <c r="E94" s="23"/>
      <c r="F94" s="23"/>
      <c r="G94" s="23"/>
      <c r="H94" s="23"/>
      <c r="I94" s="23"/>
      <c r="J94" s="23"/>
      <c r="K94" s="24"/>
      <c r="L94" s="24"/>
    </row>
    <row r="95">
      <c r="A95" s="26" t="s">
        <v>109</v>
      </c>
      <c r="B95" s="27" t="s">
        <v>1</v>
      </c>
      <c r="C95" s="28" t="s">
        <v>2</v>
      </c>
      <c r="D95" s="29" t="s">
        <v>3</v>
      </c>
      <c r="E95" s="28" t="s">
        <v>4</v>
      </c>
      <c r="F95" s="29" t="s">
        <v>5</v>
      </c>
      <c r="G95" s="29" t="s">
        <v>6</v>
      </c>
      <c r="H95" s="28" t="s">
        <v>7</v>
      </c>
      <c r="I95" s="28" t="s">
        <v>8</v>
      </c>
      <c r="J95" s="29" t="s">
        <v>10</v>
      </c>
      <c r="K95" s="16"/>
      <c r="L95" s="111"/>
    </row>
    <row r="96">
      <c r="A96" s="112" t="s">
        <v>93</v>
      </c>
      <c r="B96" s="113">
        <v>100.0</v>
      </c>
      <c r="C96" s="78">
        <f>SUM(B100:AF100)+SUM(B109:AF109)</f>
        <v>67</v>
      </c>
      <c r="D96" s="93">
        <f>C96/B96</f>
        <v>0.67</v>
      </c>
      <c r="E96" s="91">
        <f>B96-C96</f>
        <v>33</v>
      </c>
      <c r="F96" s="78"/>
      <c r="G96" s="93"/>
      <c r="H96" s="78"/>
      <c r="I96" s="114"/>
      <c r="J96" s="115">
        <f>C96/31</f>
        <v>2.161290323</v>
      </c>
      <c r="K96" s="116"/>
      <c r="L96" s="13"/>
    </row>
    <row r="97">
      <c r="A97" s="112" t="s">
        <v>94</v>
      </c>
      <c r="B97" s="78">
        <f>B98/B96</f>
        <v>6000</v>
      </c>
      <c r="C97" s="132">
        <f>IFERROR(C98/C96,"-")</f>
        <v>6285.921045</v>
      </c>
      <c r="D97" s="93"/>
      <c r="E97" s="79"/>
      <c r="F97" s="78"/>
      <c r="G97" s="93"/>
      <c r="H97" s="116"/>
      <c r="I97" s="117"/>
      <c r="J97" s="116"/>
      <c r="K97" s="116"/>
      <c r="L97" s="13"/>
    </row>
    <row r="98">
      <c r="A98" s="112" t="s">
        <v>95</v>
      </c>
      <c r="B98" s="113">
        <v>600000.0</v>
      </c>
      <c r="C98" s="78">
        <f>SUM(B102:AF102)+50+SUM(B111:AF111)</f>
        <v>421156.71</v>
      </c>
      <c r="D98" s="93">
        <f>C98/B98</f>
        <v>0.70192785</v>
      </c>
      <c r="E98" s="78">
        <f>B98-C98</f>
        <v>178843.29</v>
      </c>
      <c r="F98" s="78"/>
      <c r="G98" s="93"/>
      <c r="H98" s="78"/>
      <c r="I98" s="78"/>
      <c r="J98" s="91">
        <f>C98/31</f>
        <v>13585.70032</v>
      </c>
      <c r="K98" s="118"/>
      <c r="L98" s="13"/>
    </row>
    <row r="99">
      <c r="A99" s="119" t="s">
        <v>98</v>
      </c>
      <c r="B99" s="120">
        <v>44470.0</v>
      </c>
      <c r="C99" s="120">
        <v>44471.0</v>
      </c>
      <c r="D99" s="120">
        <v>44472.0</v>
      </c>
      <c r="E99" s="120">
        <v>44473.0</v>
      </c>
      <c r="F99" s="120">
        <v>44474.0</v>
      </c>
      <c r="G99" s="120">
        <v>44475.0</v>
      </c>
      <c r="H99" s="120">
        <v>44476.0</v>
      </c>
      <c r="I99" s="120">
        <v>44477.0</v>
      </c>
      <c r="J99" s="120">
        <v>44478.0</v>
      </c>
      <c r="K99" s="120">
        <v>44479.0</v>
      </c>
      <c r="L99" s="120">
        <v>44480.0</v>
      </c>
      <c r="M99" s="120">
        <v>44481.0</v>
      </c>
      <c r="N99" s="120">
        <v>44482.0</v>
      </c>
      <c r="O99" s="120">
        <v>44483.0</v>
      </c>
      <c r="P99" s="120">
        <v>44484.0</v>
      </c>
      <c r="Q99" s="120">
        <v>44485.0</v>
      </c>
      <c r="R99" s="120">
        <v>44486.0</v>
      </c>
      <c r="S99" s="120">
        <v>44487.0</v>
      </c>
      <c r="T99" s="120">
        <v>44488.0</v>
      </c>
      <c r="U99" s="120">
        <v>44489.0</v>
      </c>
      <c r="V99" s="120">
        <v>44490.0</v>
      </c>
      <c r="W99" s="120">
        <v>44491.0</v>
      </c>
      <c r="X99" s="120">
        <v>44492.0</v>
      </c>
      <c r="Y99" s="120">
        <v>44493.0</v>
      </c>
      <c r="Z99" s="120">
        <v>44494.0</v>
      </c>
      <c r="AA99" s="120">
        <v>44495.0</v>
      </c>
      <c r="AB99" s="120">
        <v>44496.0</v>
      </c>
      <c r="AC99" s="120">
        <v>44497.0</v>
      </c>
      <c r="AD99" s="120">
        <v>44498.0</v>
      </c>
      <c r="AE99" s="120">
        <v>44499.0</v>
      </c>
      <c r="AF99" s="120">
        <v>44500.0</v>
      </c>
    </row>
    <row r="100">
      <c r="A100" s="121" t="s">
        <v>93</v>
      </c>
      <c r="B100" s="122">
        <v>1.0</v>
      </c>
      <c r="C100" s="122">
        <v>2.0</v>
      </c>
      <c r="D100" s="122">
        <v>3.0</v>
      </c>
      <c r="E100" s="122">
        <v>2.0</v>
      </c>
      <c r="F100" s="122">
        <v>0.0</v>
      </c>
      <c r="G100" s="122">
        <v>4.0</v>
      </c>
      <c r="H100" s="122">
        <v>2.0</v>
      </c>
      <c r="I100" s="122">
        <v>2.0</v>
      </c>
      <c r="J100" s="122">
        <v>1.0</v>
      </c>
      <c r="K100" s="122">
        <v>1.0</v>
      </c>
      <c r="L100" s="122">
        <v>4.0</v>
      </c>
      <c r="M100" s="122">
        <v>2.0</v>
      </c>
      <c r="N100" s="122">
        <v>3.0</v>
      </c>
      <c r="O100" s="122">
        <v>1.0</v>
      </c>
      <c r="P100" s="122">
        <v>2.0</v>
      </c>
      <c r="Q100" s="122">
        <v>1.0</v>
      </c>
      <c r="R100" s="122">
        <v>0.0</v>
      </c>
      <c r="S100" s="122">
        <v>2.0</v>
      </c>
      <c r="T100" s="122">
        <v>2.0</v>
      </c>
      <c r="U100" s="122">
        <v>0.0</v>
      </c>
      <c r="V100" s="122">
        <v>2.0</v>
      </c>
      <c r="W100" s="122">
        <v>3.0</v>
      </c>
      <c r="X100" s="122">
        <v>0.0</v>
      </c>
      <c r="Y100" s="122">
        <v>3.0</v>
      </c>
      <c r="Z100" s="122">
        <v>1.0</v>
      </c>
      <c r="AA100" s="122">
        <v>1.0</v>
      </c>
      <c r="AB100" s="122">
        <v>1.0</v>
      </c>
      <c r="AC100" s="122">
        <v>0.0</v>
      </c>
      <c r="AD100" s="122">
        <v>0.0</v>
      </c>
      <c r="AE100" s="122">
        <v>0.0</v>
      </c>
      <c r="AF100" s="122">
        <v>1.0</v>
      </c>
    </row>
    <row r="101">
      <c r="A101" s="121" t="s">
        <v>94</v>
      </c>
      <c r="B101" s="123">
        <f t="shared" ref="B101:AF101" si="16">IFERROR(B102/B100,"-")</f>
        <v>10105.6</v>
      </c>
      <c r="C101" s="123">
        <f t="shared" si="16"/>
        <v>5876.42</v>
      </c>
      <c r="D101" s="123">
        <f t="shared" si="16"/>
        <v>5030.486667</v>
      </c>
      <c r="E101" s="123">
        <f t="shared" si="16"/>
        <v>8118.705</v>
      </c>
      <c r="F101" s="123" t="str">
        <f t="shared" si="16"/>
        <v>-</v>
      </c>
      <c r="G101" s="123">
        <f t="shared" si="16"/>
        <v>2657.26</v>
      </c>
      <c r="H101" s="123">
        <f t="shared" si="16"/>
        <v>5238.72</v>
      </c>
      <c r="I101" s="123">
        <f t="shared" si="16"/>
        <v>7093.035</v>
      </c>
      <c r="J101" s="123">
        <f t="shared" si="16"/>
        <v>8677.48</v>
      </c>
      <c r="K101" s="123">
        <f t="shared" si="16"/>
        <v>10993.38</v>
      </c>
      <c r="L101" s="123">
        <f t="shared" si="16"/>
        <v>3970.44</v>
      </c>
      <c r="M101" s="123">
        <f t="shared" si="16"/>
        <v>6611.285</v>
      </c>
      <c r="N101" s="123">
        <f t="shared" si="16"/>
        <v>3814.79</v>
      </c>
      <c r="O101" s="123">
        <f t="shared" si="16"/>
        <v>7088.87</v>
      </c>
      <c r="P101" s="123">
        <f t="shared" si="16"/>
        <v>6444.39</v>
      </c>
      <c r="Q101" s="123">
        <f t="shared" si="16"/>
        <v>8152.55</v>
      </c>
      <c r="R101" s="123" t="str">
        <f t="shared" si="16"/>
        <v>-</v>
      </c>
      <c r="S101" s="123">
        <f t="shared" si="16"/>
        <v>4791.275</v>
      </c>
      <c r="T101" s="123">
        <f t="shared" si="16"/>
        <v>6804.575</v>
      </c>
      <c r="U101" s="123" t="str">
        <f t="shared" si="16"/>
        <v>-</v>
      </c>
      <c r="V101" s="123">
        <f t="shared" si="16"/>
        <v>8146.88</v>
      </c>
      <c r="W101" s="123">
        <f t="shared" si="16"/>
        <v>4875.946667</v>
      </c>
      <c r="X101" s="123" t="str">
        <f t="shared" si="16"/>
        <v>-</v>
      </c>
      <c r="Y101" s="123">
        <f t="shared" si="16"/>
        <v>3684.853333</v>
      </c>
      <c r="Z101" s="123">
        <f t="shared" si="16"/>
        <v>13976.23</v>
      </c>
      <c r="AA101" s="123">
        <f t="shared" si="16"/>
        <v>13359.87</v>
      </c>
      <c r="AB101" s="123">
        <f t="shared" si="16"/>
        <v>15691.35</v>
      </c>
      <c r="AC101" s="123" t="str">
        <f t="shared" si="16"/>
        <v>-</v>
      </c>
      <c r="AD101" s="123" t="str">
        <f t="shared" si="16"/>
        <v>-</v>
      </c>
      <c r="AE101" s="123" t="str">
        <f t="shared" si="16"/>
        <v>-</v>
      </c>
      <c r="AF101" s="123">
        <f t="shared" si="16"/>
        <v>8339.21</v>
      </c>
    </row>
    <row r="102">
      <c r="A102" s="121" t="s">
        <v>99</v>
      </c>
      <c r="B102" s="122">
        <v>10105.6</v>
      </c>
      <c r="C102" s="122">
        <v>11752.84</v>
      </c>
      <c r="D102" s="122">
        <v>15091.46</v>
      </c>
      <c r="E102" s="122">
        <v>16237.41</v>
      </c>
      <c r="F102" s="122">
        <v>9749.65</v>
      </c>
      <c r="G102" s="122">
        <v>10629.04</v>
      </c>
      <c r="H102" s="122">
        <v>10477.44</v>
      </c>
      <c r="I102" s="122">
        <v>14186.07</v>
      </c>
      <c r="J102" s="122">
        <v>8677.48</v>
      </c>
      <c r="K102" s="122">
        <v>10993.38</v>
      </c>
      <c r="L102" s="122">
        <v>15881.76</v>
      </c>
      <c r="M102" s="122">
        <v>13222.57</v>
      </c>
      <c r="N102" s="122">
        <v>11444.37</v>
      </c>
      <c r="O102" s="122">
        <v>7088.87</v>
      </c>
      <c r="P102" s="122">
        <v>12888.78</v>
      </c>
      <c r="Q102" s="122">
        <v>8152.55</v>
      </c>
      <c r="R102" s="122">
        <v>12474.54</v>
      </c>
      <c r="S102" s="122">
        <v>9582.55</v>
      </c>
      <c r="T102" s="122">
        <v>13609.15</v>
      </c>
      <c r="U102" s="122">
        <v>15174.22</v>
      </c>
      <c r="V102" s="122">
        <v>16293.76</v>
      </c>
      <c r="W102" s="122">
        <v>14627.84</v>
      </c>
      <c r="X102" s="122">
        <v>9386.64</v>
      </c>
      <c r="Y102" s="122">
        <v>11054.56</v>
      </c>
      <c r="Z102" s="122">
        <v>13976.23</v>
      </c>
      <c r="AA102" s="122">
        <v>13359.87</v>
      </c>
      <c r="AB102" s="122">
        <v>15691.35</v>
      </c>
      <c r="AC102" s="122">
        <v>10546.57</v>
      </c>
      <c r="AD102" s="122">
        <v>11550.29</v>
      </c>
      <c r="AE102" s="122">
        <v>12251.32</v>
      </c>
      <c r="AF102" s="122">
        <v>8339.21</v>
      </c>
    </row>
    <row r="103">
      <c r="A103" s="51"/>
      <c r="B103" s="87"/>
      <c r="C103" s="85"/>
      <c r="D103" s="85"/>
      <c r="E103" s="85"/>
      <c r="F103" s="85"/>
      <c r="G103" s="85"/>
      <c r="H103" s="85"/>
      <c r="I103" s="85"/>
      <c r="J103" s="85"/>
      <c r="K103" s="51"/>
      <c r="L103" s="51"/>
    </row>
    <row r="104">
      <c r="A104" s="26" t="s">
        <v>106</v>
      </c>
      <c r="B104" s="27" t="s">
        <v>1</v>
      </c>
      <c r="C104" s="28" t="s">
        <v>2</v>
      </c>
      <c r="D104" s="29" t="s">
        <v>3</v>
      </c>
      <c r="E104" s="28" t="s">
        <v>4</v>
      </c>
      <c r="F104" s="29" t="s">
        <v>5</v>
      </c>
      <c r="G104" s="29" t="s">
        <v>6</v>
      </c>
      <c r="H104" s="28" t="s">
        <v>7</v>
      </c>
      <c r="I104" s="28" t="s">
        <v>8</v>
      </c>
      <c r="J104" s="29" t="s">
        <v>10</v>
      </c>
      <c r="K104" s="16"/>
      <c r="L104" s="51"/>
    </row>
    <row r="105">
      <c r="A105" s="112" t="s">
        <v>93</v>
      </c>
      <c r="B105" s="113" t="s">
        <v>110</v>
      </c>
      <c r="C105" s="78">
        <f>SUM(B109:AF109)</f>
        <v>20</v>
      </c>
      <c r="D105" s="135"/>
      <c r="E105" s="91"/>
      <c r="F105" s="78"/>
      <c r="G105" s="136"/>
      <c r="H105" s="78"/>
      <c r="I105" s="114"/>
      <c r="J105" s="115">
        <f>C105/31</f>
        <v>0.6451612903</v>
      </c>
      <c r="K105" s="13"/>
      <c r="L105" s="13"/>
    </row>
    <row r="106">
      <c r="A106" s="112" t="s">
        <v>94</v>
      </c>
      <c r="B106" s="113" t="s">
        <v>110</v>
      </c>
      <c r="C106" s="132">
        <f>IFERROR(C107/C105,"-")</f>
        <v>2329.2875</v>
      </c>
      <c r="D106" s="93"/>
      <c r="E106" s="84"/>
      <c r="F106" s="132"/>
      <c r="H106" s="79"/>
      <c r="I106" s="78"/>
      <c r="J106" s="116"/>
      <c r="K106" s="13"/>
      <c r="L106" s="13"/>
    </row>
    <row r="107">
      <c r="A107" s="112" t="s">
        <v>95</v>
      </c>
      <c r="B107" s="113" t="s">
        <v>110</v>
      </c>
      <c r="C107" s="78">
        <f>SUM(B111:AE111)</f>
        <v>46585.75</v>
      </c>
      <c r="D107" s="135"/>
      <c r="E107" s="78"/>
      <c r="F107" s="78"/>
      <c r="G107" s="136"/>
      <c r="H107" s="78"/>
      <c r="I107" s="78"/>
      <c r="J107" s="91">
        <f>C107/31</f>
        <v>1502.766129</v>
      </c>
      <c r="K107" s="87"/>
      <c r="L107" s="13"/>
    </row>
    <row r="108">
      <c r="A108" s="119" t="s">
        <v>111</v>
      </c>
      <c r="B108" s="120">
        <v>44470.0</v>
      </c>
      <c r="C108" s="120">
        <v>44471.0</v>
      </c>
      <c r="D108" s="120">
        <v>44472.0</v>
      </c>
      <c r="E108" s="120">
        <v>44473.0</v>
      </c>
      <c r="F108" s="120">
        <v>44474.0</v>
      </c>
      <c r="G108" s="120">
        <v>44475.0</v>
      </c>
      <c r="H108" s="120">
        <v>44476.0</v>
      </c>
      <c r="I108" s="120">
        <v>44477.0</v>
      </c>
      <c r="J108" s="120">
        <v>44478.0</v>
      </c>
      <c r="K108" s="120">
        <v>44479.0</v>
      </c>
      <c r="L108" s="120">
        <v>44480.0</v>
      </c>
      <c r="M108" s="120">
        <v>44481.0</v>
      </c>
      <c r="N108" s="120">
        <v>44482.0</v>
      </c>
      <c r="O108" s="120">
        <v>44483.0</v>
      </c>
      <c r="P108" s="120">
        <v>44484.0</v>
      </c>
      <c r="Q108" s="120">
        <v>44485.0</v>
      </c>
      <c r="R108" s="120">
        <v>44486.0</v>
      </c>
      <c r="S108" s="120">
        <v>44487.0</v>
      </c>
      <c r="T108" s="120">
        <v>44488.0</v>
      </c>
      <c r="U108" s="120">
        <v>44489.0</v>
      </c>
      <c r="V108" s="120">
        <v>44490.0</v>
      </c>
      <c r="W108" s="120">
        <v>44491.0</v>
      </c>
      <c r="X108" s="120">
        <v>44492.0</v>
      </c>
      <c r="Y108" s="120">
        <v>44493.0</v>
      </c>
      <c r="Z108" s="120">
        <v>44494.0</v>
      </c>
      <c r="AA108" s="120">
        <v>44495.0</v>
      </c>
      <c r="AB108" s="120">
        <v>44496.0</v>
      </c>
      <c r="AC108" s="120">
        <v>44497.0</v>
      </c>
      <c r="AD108" s="120">
        <v>44498.0</v>
      </c>
      <c r="AE108" s="120">
        <v>44499.0</v>
      </c>
      <c r="AF108" s="120">
        <v>44500.0</v>
      </c>
    </row>
    <row r="109">
      <c r="A109" s="121" t="s">
        <v>93</v>
      </c>
      <c r="B109" s="122">
        <v>0.0</v>
      </c>
      <c r="C109" s="122">
        <v>1.0</v>
      </c>
      <c r="D109" s="122">
        <v>0.0</v>
      </c>
      <c r="E109" s="122">
        <v>0.0</v>
      </c>
      <c r="F109" s="122">
        <v>1.0</v>
      </c>
      <c r="G109" s="122">
        <v>0.0</v>
      </c>
      <c r="H109" s="122">
        <v>0.0</v>
      </c>
      <c r="I109" s="122">
        <v>0.0</v>
      </c>
      <c r="J109" s="122">
        <v>0.0</v>
      </c>
      <c r="K109" s="122">
        <v>0.0</v>
      </c>
      <c r="L109" s="122">
        <v>0.0</v>
      </c>
      <c r="M109" s="122">
        <v>0.0</v>
      </c>
      <c r="N109" s="122">
        <v>0.0</v>
      </c>
      <c r="O109" s="122">
        <v>0.0</v>
      </c>
      <c r="P109" s="122">
        <v>0.0</v>
      </c>
      <c r="Q109" s="122">
        <v>1.0</v>
      </c>
      <c r="R109" s="122">
        <v>0.0</v>
      </c>
      <c r="S109" s="122">
        <v>2.0</v>
      </c>
      <c r="T109" s="122">
        <v>1.0</v>
      </c>
      <c r="U109" s="122">
        <v>1.0</v>
      </c>
      <c r="V109" s="122">
        <v>3.0</v>
      </c>
      <c r="W109" s="122">
        <v>3.0</v>
      </c>
      <c r="X109" s="122">
        <v>2.0</v>
      </c>
      <c r="Y109" s="122">
        <v>2.0</v>
      </c>
      <c r="Z109" s="122">
        <v>3.0</v>
      </c>
      <c r="AA109" s="122">
        <v>0.0</v>
      </c>
      <c r="AB109" s="122">
        <v>0.0</v>
      </c>
      <c r="AC109" s="122">
        <v>0.0</v>
      </c>
      <c r="AD109" s="122">
        <v>0.0</v>
      </c>
      <c r="AE109" s="122">
        <v>0.0</v>
      </c>
      <c r="AF109" s="122">
        <v>0.0</v>
      </c>
    </row>
    <row r="110">
      <c r="A110" s="121" t="s">
        <v>94</v>
      </c>
      <c r="B110" s="123" t="str">
        <f t="shared" ref="B110:AE110" si="17">IFERROR(B111/B109,"-")</f>
        <v>-</v>
      </c>
      <c r="C110" s="123">
        <f t="shared" si="17"/>
        <v>0</v>
      </c>
      <c r="D110" s="123" t="str">
        <f t="shared" si="17"/>
        <v>-</v>
      </c>
      <c r="E110" s="123" t="str">
        <f t="shared" si="17"/>
        <v>-</v>
      </c>
      <c r="F110" s="123">
        <f t="shared" si="17"/>
        <v>60.9</v>
      </c>
      <c r="G110" s="123" t="str">
        <f t="shared" si="17"/>
        <v>-</v>
      </c>
      <c r="H110" s="123" t="str">
        <f t="shared" si="17"/>
        <v>-</v>
      </c>
      <c r="I110" s="123" t="str">
        <f t="shared" si="17"/>
        <v>-</v>
      </c>
      <c r="J110" s="123" t="str">
        <f t="shared" si="17"/>
        <v>-</v>
      </c>
      <c r="K110" s="123" t="str">
        <f t="shared" si="17"/>
        <v>-</v>
      </c>
      <c r="L110" s="123" t="str">
        <f t="shared" si="17"/>
        <v>-</v>
      </c>
      <c r="M110" s="123" t="str">
        <f t="shared" si="17"/>
        <v>-</v>
      </c>
      <c r="N110" s="123" t="str">
        <f t="shared" si="17"/>
        <v>-</v>
      </c>
      <c r="O110" s="123" t="str">
        <f t="shared" si="17"/>
        <v>-</v>
      </c>
      <c r="P110" s="123" t="str">
        <f t="shared" si="17"/>
        <v>-</v>
      </c>
      <c r="Q110" s="123">
        <f t="shared" si="17"/>
        <v>3194.2</v>
      </c>
      <c r="R110" s="123" t="str">
        <f t="shared" si="17"/>
        <v>-</v>
      </c>
      <c r="S110" s="123">
        <f t="shared" si="17"/>
        <v>1619.67</v>
      </c>
      <c r="T110" s="123">
        <f t="shared" si="17"/>
        <v>3278.55</v>
      </c>
      <c r="U110" s="123">
        <f t="shared" si="17"/>
        <v>6489.75</v>
      </c>
      <c r="V110" s="123">
        <f t="shared" si="17"/>
        <v>1063.38</v>
      </c>
      <c r="W110" s="123">
        <f t="shared" si="17"/>
        <v>3172.73</v>
      </c>
      <c r="X110" s="123">
        <f t="shared" si="17"/>
        <v>0</v>
      </c>
      <c r="Y110" s="123">
        <f t="shared" si="17"/>
        <v>1617.105</v>
      </c>
      <c r="Z110" s="123">
        <f t="shared" si="17"/>
        <v>3172.73</v>
      </c>
      <c r="AA110" s="123" t="str">
        <f t="shared" si="17"/>
        <v>-</v>
      </c>
      <c r="AB110" s="123" t="str">
        <f t="shared" si="17"/>
        <v>-</v>
      </c>
      <c r="AC110" s="123" t="str">
        <f t="shared" si="17"/>
        <v>-</v>
      </c>
      <c r="AD110" s="123" t="str">
        <f t="shared" si="17"/>
        <v>-</v>
      </c>
      <c r="AE110" s="123" t="str">
        <f t="shared" si="17"/>
        <v>-</v>
      </c>
      <c r="AF110" s="123"/>
    </row>
    <row r="111">
      <c r="A111" s="121" t="s">
        <v>99</v>
      </c>
      <c r="B111" s="122">
        <v>216.48</v>
      </c>
      <c r="C111" s="122">
        <v>0.0</v>
      </c>
      <c r="D111" s="122">
        <v>73.99</v>
      </c>
      <c r="E111" s="122">
        <v>63.18</v>
      </c>
      <c r="F111" s="122">
        <v>60.9</v>
      </c>
      <c r="G111" s="122">
        <v>3238.48</v>
      </c>
      <c r="H111" s="122">
        <v>95.27</v>
      </c>
      <c r="I111" s="122">
        <v>133.28</v>
      </c>
      <c r="J111" s="122">
        <v>63.29</v>
      </c>
      <c r="K111" s="122">
        <v>282.26</v>
      </c>
      <c r="L111" s="122">
        <v>192.06</v>
      </c>
      <c r="M111" s="122">
        <v>119.69</v>
      </c>
      <c r="N111" s="122">
        <v>53.66</v>
      </c>
      <c r="O111" s="122">
        <v>92.24</v>
      </c>
      <c r="P111" s="122">
        <v>91.74</v>
      </c>
      <c r="Q111" s="122">
        <v>3194.2</v>
      </c>
      <c r="R111" s="122">
        <v>36.58</v>
      </c>
      <c r="S111" s="122">
        <v>3239.34</v>
      </c>
      <c r="T111" s="122">
        <v>3278.55</v>
      </c>
      <c r="U111" s="122">
        <v>6489.75</v>
      </c>
      <c r="V111" s="122">
        <v>3190.14</v>
      </c>
      <c r="W111" s="122">
        <v>9518.19</v>
      </c>
      <c r="X111" s="122">
        <v>0.0</v>
      </c>
      <c r="Y111" s="122">
        <v>3234.21</v>
      </c>
      <c r="Z111" s="122">
        <v>9518.19</v>
      </c>
      <c r="AA111" s="122">
        <v>0.0</v>
      </c>
      <c r="AB111" s="122">
        <v>30.87</v>
      </c>
      <c r="AC111" s="122">
        <v>67.19</v>
      </c>
      <c r="AD111" s="122">
        <v>12.02</v>
      </c>
      <c r="AE111" s="122">
        <v>0.0</v>
      </c>
      <c r="AF111" s="122">
        <v>23.59</v>
      </c>
    </row>
    <row r="112">
      <c r="A112" s="35"/>
      <c r="B112" s="53"/>
      <c r="C112" s="53"/>
      <c r="D112" s="53"/>
      <c r="E112" s="53"/>
      <c r="F112" s="55"/>
      <c r="G112" s="55"/>
      <c r="H112" s="54"/>
      <c r="I112" s="54"/>
      <c r="J112" s="54"/>
      <c r="K112" s="54"/>
      <c r="L112" s="54"/>
    </row>
    <row r="113">
      <c r="A113" s="26" t="s">
        <v>100</v>
      </c>
      <c r="B113" s="27" t="s">
        <v>1</v>
      </c>
      <c r="C113" s="28" t="s">
        <v>2</v>
      </c>
      <c r="D113" s="29" t="s">
        <v>3</v>
      </c>
      <c r="E113" s="28" t="s">
        <v>4</v>
      </c>
      <c r="F113" s="29" t="s">
        <v>5</v>
      </c>
      <c r="G113" s="29" t="s">
        <v>6</v>
      </c>
      <c r="H113" s="28" t="s">
        <v>7</v>
      </c>
      <c r="I113" s="28" t="s">
        <v>8</v>
      </c>
      <c r="J113" s="29" t="s">
        <v>10</v>
      </c>
      <c r="K113" s="16"/>
      <c r="L113" s="51"/>
    </row>
    <row r="114">
      <c r="A114" s="112" t="s">
        <v>93</v>
      </c>
      <c r="B114" s="113">
        <v>47.0</v>
      </c>
      <c r="C114" s="78">
        <f>SUM(B118:AF118)</f>
        <v>36</v>
      </c>
      <c r="D114" s="93">
        <f>C114/B114</f>
        <v>0.7659574468</v>
      </c>
      <c r="E114" s="91">
        <f>B114-C114</f>
        <v>11</v>
      </c>
      <c r="F114" s="78"/>
      <c r="G114" s="124"/>
      <c r="H114" s="78"/>
      <c r="I114" s="114"/>
      <c r="J114" s="115">
        <f>C114/31</f>
        <v>1.161290323</v>
      </c>
      <c r="K114" s="79"/>
      <c r="L114" s="79"/>
    </row>
    <row r="115">
      <c r="A115" s="112" t="s">
        <v>94</v>
      </c>
      <c r="B115" s="78">
        <f>B116/B114</f>
        <v>6000</v>
      </c>
      <c r="C115" s="132">
        <f>IFERROR(C116/C114,"-")</f>
        <v>4916.870278</v>
      </c>
      <c r="D115" s="93"/>
      <c r="E115" s="79"/>
      <c r="F115" s="78"/>
      <c r="G115" s="93"/>
      <c r="H115" s="79"/>
      <c r="I115" s="78"/>
      <c r="J115" s="116"/>
      <c r="K115" s="79"/>
      <c r="L115" s="79"/>
    </row>
    <row r="116">
      <c r="A116" s="112" t="s">
        <v>95</v>
      </c>
      <c r="B116" s="113">
        <v>282000.0</v>
      </c>
      <c r="C116" s="78">
        <f>SUM(B120:AF120)-2508</f>
        <v>177007.33</v>
      </c>
      <c r="D116" s="93">
        <f>C116/B116</f>
        <v>0.6276855674</v>
      </c>
      <c r="E116" s="78">
        <f>B116-C116</f>
        <v>104992.67</v>
      </c>
      <c r="F116" s="78"/>
      <c r="G116" s="124"/>
      <c r="H116" s="78"/>
      <c r="I116" s="78"/>
      <c r="J116" s="91">
        <f>C116/31</f>
        <v>5709.913871</v>
      </c>
      <c r="K116" s="79"/>
      <c r="L116" s="79"/>
    </row>
    <row r="117">
      <c r="A117" s="119" t="s">
        <v>101</v>
      </c>
      <c r="B117" s="120">
        <v>44470.0</v>
      </c>
      <c r="C117" s="120">
        <v>44471.0</v>
      </c>
      <c r="D117" s="120">
        <v>44472.0</v>
      </c>
      <c r="E117" s="120">
        <v>44473.0</v>
      </c>
      <c r="F117" s="120">
        <v>44474.0</v>
      </c>
      <c r="G117" s="120">
        <v>44475.0</v>
      </c>
      <c r="H117" s="120">
        <v>44476.0</v>
      </c>
      <c r="I117" s="120">
        <v>44477.0</v>
      </c>
      <c r="J117" s="120">
        <v>44478.0</v>
      </c>
      <c r="K117" s="120">
        <v>44479.0</v>
      </c>
      <c r="L117" s="120">
        <v>44480.0</v>
      </c>
      <c r="M117" s="120">
        <v>44481.0</v>
      </c>
      <c r="N117" s="120">
        <v>44482.0</v>
      </c>
      <c r="O117" s="120">
        <v>44483.0</v>
      </c>
      <c r="P117" s="120">
        <v>44484.0</v>
      </c>
      <c r="Q117" s="120">
        <v>44485.0</v>
      </c>
      <c r="R117" s="120">
        <v>44486.0</v>
      </c>
      <c r="S117" s="120">
        <v>44487.0</v>
      </c>
      <c r="T117" s="120">
        <v>44488.0</v>
      </c>
      <c r="U117" s="120">
        <v>44489.0</v>
      </c>
      <c r="V117" s="120">
        <v>44490.0</v>
      </c>
      <c r="W117" s="120">
        <v>44491.0</v>
      </c>
      <c r="X117" s="120">
        <v>44492.0</v>
      </c>
      <c r="Y117" s="120">
        <v>44493.0</v>
      </c>
      <c r="Z117" s="120">
        <v>44494.0</v>
      </c>
      <c r="AA117" s="120">
        <v>44495.0</v>
      </c>
      <c r="AB117" s="120">
        <v>44496.0</v>
      </c>
      <c r="AC117" s="120">
        <v>44497.0</v>
      </c>
      <c r="AD117" s="120">
        <v>44498.0</v>
      </c>
      <c r="AE117" s="120">
        <v>44499.0</v>
      </c>
      <c r="AF117" s="120">
        <v>44500.0</v>
      </c>
    </row>
    <row r="118">
      <c r="A118" s="121" t="s">
        <v>93</v>
      </c>
      <c r="B118" s="122">
        <v>1.0</v>
      </c>
      <c r="C118" s="122">
        <v>0.0</v>
      </c>
      <c r="D118" s="122">
        <v>0.0</v>
      </c>
      <c r="E118" s="122">
        <v>0.0</v>
      </c>
      <c r="F118" s="122">
        <v>2.0</v>
      </c>
      <c r="G118" s="122">
        <v>0.0</v>
      </c>
      <c r="H118" s="122">
        <v>0.0</v>
      </c>
      <c r="I118" s="122">
        <v>0.0</v>
      </c>
      <c r="J118" s="122">
        <v>1.0</v>
      </c>
      <c r="K118" s="122">
        <v>7.0</v>
      </c>
      <c r="L118" s="122">
        <v>0.0</v>
      </c>
      <c r="M118" s="122">
        <v>1.0</v>
      </c>
      <c r="N118" s="122">
        <v>4.0</v>
      </c>
      <c r="O118" s="122">
        <v>1.0</v>
      </c>
      <c r="P118" s="122">
        <v>4.0</v>
      </c>
      <c r="Q118" s="122">
        <v>3.0</v>
      </c>
      <c r="R118" s="122">
        <v>1.0</v>
      </c>
      <c r="S118" s="122">
        <v>1.0</v>
      </c>
      <c r="T118" s="122">
        <v>1.0</v>
      </c>
      <c r="U118" s="122">
        <v>1.0</v>
      </c>
      <c r="V118" s="122">
        <v>2.0</v>
      </c>
      <c r="W118" s="122">
        <v>0.0</v>
      </c>
      <c r="X118" s="122">
        <v>1.0</v>
      </c>
      <c r="Y118" s="122">
        <v>3.0</v>
      </c>
      <c r="Z118" s="122">
        <v>0.0</v>
      </c>
      <c r="AA118" s="122">
        <v>1.0</v>
      </c>
      <c r="AB118" s="122">
        <v>0.0</v>
      </c>
      <c r="AC118" s="122">
        <v>0.0</v>
      </c>
      <c r="AD118" s="122">
        <v>0.0</v>
      </c>
      <c r="AE118" s="122">
        <v>1.0</v>
      </c>
      <c r="AF118" s="122">
        <v>0.0</v>
      </c>
    </row>
    <row r="119">
      <c r="A119" s="121" t="s">
        <v>94</v>
      </c>
      <c r="B119" s="123">
        <f t="shared" ref="B119:AE119" si="18">IFERROR(B120/B118,"-")</f>
        <v>6580.21</v>
      </c>
      <c r="C119" s="123" t="str">
        <f t="shared" si="18"/>
        <v>-</v>
      </c>
      <c r="D119" s="123" t="str">
        <f t="shared" si="18"/>
        <v>-</v>
      </c>
      <c r="E119" s="123" t="str">
        <f t="shared" si="18"/>
        <v>-</v>
      </c>
      <c r="F119" s="123">
        <f t="shared" si="18"/>
        <v>1684.57</v>
      </c>
      <c r="G119" s="123" t="str">
        <f t="shared" si="18"/>
        <v>-</v>
      </c>
      <c r="H119" s="123" t="str">
        <f t="shared" si="18"/>
        <v>-</v>
      </c>
      <c r="I119" s="123" t="str">
        <f t="shared" si="18"/>
        <v>-</v>
      </c>
      <c r="J119" s="123">
        <f t="shared" si="18"/>
        <v>7883.3</v>
      </c>
      <c r="K119" s="123">
        <f t="shared" si="18"/>
        <v>994.6157143</v>
      </c>
      <c r="L119" s="123" t="str">
        <f t="shared" si="18"/>
        <v>-</v>
      </c>
      <c r="M119" s="123">
        <f t="shared" si="18"/>
        <v>6544.1</v>
      </c>
      <c r="N119" s="123">
        <f t="shared" si="18"/>
        <v>1813.5525</v>
      </c>
      <c r="O119" s="123">
        <f t="shared" si="18"/>
        <v>5154.42</v>
      </c>
      <c r="P119" s="123">
        <f t="shared" si="18"/>
        <v>1068.7675</v>
      </c>
      <c r="Q119" s="123">
        <f t="shared" si="18"/>
        <v>1579.57</v>
      </c>
      <c r="R119" s="123">
        <f t="shared" si="18"/>
        <v>5624.79</v>
      </c>
      <c r="S119" s="123">
        <f t="shared" si="18"/>
        <v>5551.12</v>
      </c>
      <c r="T119" s="123">
        <f t="shared" si="18"/>
        <v>8704.61</v>
      </c>
      <c r="U119" s="123">
        <f t="shared" si="18"/>
        <v>4376.94</v>
      </c>
      <c r="V119" s="123">
        <f t="shared" si="18"/>
        <v>1623.65</v>
      </c>
      <c r="W119" s="123" t="str">
        <f t="shared" si="18"/>
        <v>-</v>
      </c>
      <c r="X119" s="123">
        <f t="shared" si="18"/>
        <v>5745.12</v>
      </c>
      <c r="Y119" s="123">
        <f t="shared" si="18"/>
        <v>1541.92</v>
      </c>
      <c r="Z119" s="123" t="str">
        <f t="shared" si="18"/>
        <v>-</v>
      </c>
      <c r="AA119" s="123">
        <f t="shared" si="18"/>
        <v>7779.02</v>
      </c>
      <c r="AB119" s="123" t="str">
        <f t="shared" si="18"/>
        <v>-</v>
      </c>
      <c r="AC119" s="123" t="str">
        <f t="shared" si="18"/>
        <v>-</v>
      </c>
      <c r="AD119" s="123" t="str">
        <f t="shared" si="18"/>
        <v>-</v>
      </c>
      <c r="AE119" s="123">
        <f t="shared" si="18"/>
        <v>2431.55</v>
      </c>
      <c r="AF119" s="123"/>
    </row>
    <row r="120">
      <c r="A120" s="121" t="s">
        <v>99</v>
      </c>
      <c r="B120" s="122">
        <v>6580.21</v>
      </c>
      <c r="C120" s="122">
        <v>12707.59</v>
      </c>
      <c r="D120" s="122">
        <v>7387.94</v>
      </c>
      <c r="E120" s="122">
        <v>7715.14</v>
      </c>
      <c r="F120" s="122">
        <v>3369.14</v>
      </c>
      <c r="G120" s="122">
        <v>3517.31</v>
      </c>
      <c r="H120" s="122">
        <v>6052.58</v>
      </c>
      <c r="I120" s="122">
        <v>5299.23</v>
      </c>
      <c r="J120" s="122">
        <v>7883.3</v>
      </c>
      <c r="K120" s="122">
        <v>6962.31</v>
      </c>
      <c r="L120" s="122">
        <v>6261.26</v>
      </c>
      <c r="M120" s="122">
        <v>6544.1</v>
      </c>
      <c r="N120" s="122">
        <v>7254.21</v>
      </c>
      <c r="O120" s="122">
        <v>5154.42</v>
      </c>
      <c r="P120" s="122">
        <f>4276.41-P129</f>
        <v>4275.07</v>
      </c>
      <c r="Q120" s="122">
        <f>4739.37-Q129</f>
        <v>4738.71</v>
      </c>
      <c r="R120" s="122">
        <f>5629.84-R129</f>
        <v>5624.79</v>
      </c>
      <c r="S120" s="122">
        <f>5555.83-S129</f>
        <v>5551.12</v>
      </c>
      <c r="T120" s="122">
        <f>8706.73-T129</f>
        <v>8704.61</v>
      </c>
      <c r="U120" s="122">
        <f>4384.73-U129</f>
        <v>4376.94</v>
      </c>
      <c r="V120" s="122">
        <f>3248.17-V129</f>
        <v>3247.3</v>
      </c>
      <c r="W120" s="122">
        <f>3095.52-W129</f>
        <v>3095.28</v>
      </c>
      <c r="X120" s="122">
        <f>5751.88-X129</f>
        <v>5745.12</v>
      </c>
      <c r="Y120" s="122">
        <f>4639.23-Y129</f>
        <v>4625.76</v>
      </c>
      <c r="Z120" s="122">
        <v>6595.45</v>
      </c>
      <c r="AA120" s="122">
        <v>7779.02</v>
      </c>
      <c r="AB120" s="122">
        <v>5124.64</v>
      </c>
      <c r="AC120" s="122">
        <v>6469.79</v>
      </c>
      <c r="AD120" s="122">
        <v>3439.81</v>
      </c>
      <c r="AE120" s="122">
        <v>2431.55</v>
      </c>
      <c r="AF120" s="122">
        <v>5001.63</v>
      </c>
    </row>
    <row r="122">
      <c r="A122" s="26" t="s">
        <v>113</v>
      </c>
      <c r="B122" s="27" t="s">
        <v>1</v>
      </c>
      <c r="C122" s="28" t="s">
        <v>2</v>
      </c>
      <c r="D122" s="29" t="s">
        <v>3</v>
      </c>
      <c r="E122" s="28" t="s">
        <v>4</v>
      </c>
      <c r="F122" s="29" t="s">
        <v>5</v>
      </c>
      <c r="G122" s="29" t="s">
        <v>6</v>
      </c>
      <c r="H122" s="28" t="s">
        <v>7</v>
      </c>
      <c r="I122" s="28" t="s">
        <v>8</v>
      </c>
      <c r="J122" s="29" t="s">
        <v>10</v>
      </c>
      <c r="K122" s="16"/>
      <c r="L122" s="51"/>
    </row>
    <row r="123">
      <c r="A123" s="112" t="s">
        <v>93</v>
      </c>
      <c r="B123" s="113" t="s">
        <v>110</v>
      </c>
      <c r="C123" s="78">
        <f>SUM(B127:AF127)</f>
        <v>0</v>
      </c>
      <c r="D123" s="135"/>
      <c r="E123" s="91"/>
      <c r="F123" s="78"/>
      <c r="H123" s="78"/>
      <c r="I123" s="114"/>
      <c r="J123" s="115"/>
      <c r="K123" s="79"/>
      <c r="L123" s="79"/>
    </row>
    <row r="124">
      <c r="A124" s="112" t="s">
        <v>94</v>
      </c>
      <c r="B124" s="113" t="s">
        <v>110</v>
      </c>
      <c r="C124" s="132" t="str">
        <f>IFERROR(C125/C123,"-")</f>
        <v>-</v>
      </c>
      <c r="D124" s="93"/>
      <c r="E124" s="79"/>
      <c r="F124" s="78"/>
      <c r="H124" s="79"/>
      <c r="I124" s="78"/>
      <c r="J124" s="116"/>
      <c r="K124" s="79"/>
      <c r="L124" s="79"/>
    </row>
    <row r="125">
      <c r="A125" s="112" t="s">
        <v>95</v>
      </c>
      <c r="B125" s="113">
        <v>5000.0</v>
      </c>
      <c r="C125" s="78">
        <f>SUM(B129:AF129)</f>
        <v>125.91</v>
      </c>
      <c r="D125" s="93">
        <f>C125/B125</f>
        <v>0.025182</v>
      </c>
      <c r="E125" s="78">
        <f>B125-C125</f>
        <v>4874.09</v>
      </c>
      <c r="F125" s="78"/>
      <c r="G125" s="124"/>
      <c r="H125" s="78"/>
      <c r="I125" s="78"/>
      <c r="J125" s="91">
        <f>C125/31</f>
        <v>4.061612903</v>
      </c>
      <c r="K125" s="79"/>
      <c r="L125" s="79"/>
    </row>
    <row r="126">
      <c r="A126" s="119" t="s">
        <v>114</v>
      </c>
      <c r="B126" s="120">
        <v>44470.0</v>
      </c>
      <c r="C126" s="120">
        <v>44471.0</v>
      </c>
      <c r="D126" s="120">
        <v>44472.0</v>
      </c>
      <c r="E126" s="120">
        <v>44473.0</v>
      </c>
      <c r="F126" s="120">
        <v>44474.0</v>
      </c>
      <c r="G126" s="120">
        <v>44475.0</v>
      </c>
      <c r="H126" s="120">
        <v>44476.0</v>
      </c>
      <c r="I126" s="120">
        <v>44477.0</v>
      </c>
      <c r="J126" s="120">
        <v>44478.0</v>
      </c>
      <c r="K126" s="120">
        <v>44479.0</v>
      </c>
      <c r="L126" s="120">
        <v>44480.0</v>
      </c>
      <c r="M126" s="120">
        <v>44481.0</v>
      </c>
      <c r="N126" s="120">
        <v>44482.0</v>
      </c>
      <c r="O126" s="120">
        <v>44483.0</v>
      </c>
      <c r="P126" s="120">
        <v>44484.0</v>
      </c>
      <c r="Q126" s="120">
        <v>44485.0</v>
      </c>
      <c r="R126" s="120">
        <v>44486.0</v>
      </c>
      <c r="S126" s="120">
        <v>44487.0</v>
      </c>
      <c r="T126" s="120">
        <v>44488.0</v>
      </c>
      <c r="U126" s="120">
        <v>44489.0</v>
      </c>
      <c r="V126" s="120">
        <v>44490.0</v>
      </c>
      <c r="W126" s="120">
        <v>44491.0</v>
      </c>
      <c r="X126" s="120">
        <v>44492.0</v>
      </c>
      <c r="Y126" s="120">
        <v>44493.0</v>
      </c>
      <c r="Z126" s="120">
        <v>44494.0</v>
      </c>
      <c r="AA126" s="120">
        <v>44495.0</v>
      </c>
      <c r="AB126" s="120">
        <v>44496.0</v>
      </c>
      <c r="AC126" s="120">
        <v>44497.0</v>
      </c>
      <c r="AD126" s="120">
        <v>44498.0</v>
      </c>
      <c r="AE126" s="120">
        <v>44499.0</v>
      </c>
      <c r="AF126" s="120">
        <v>44500.0</v>
      </c>
    </row>
    <row r="127">
      <c r="A127" s="121" t="s">
        <v>93</v>
      </c>
      <c r="B127" s="122">
        <v>0.0</v>
      </c>
      <c r="C127" s="122">
        <v>0.0</v>
      </c>
      <c r="D127" s="122">
        <v>0.0</v>
      </c>
      <c r="E127" s="122">
        <v>0.0</v>
      </c>
      <c r="F127" s="122">
        <v>0.0</v>
      </c>
      <c r="G127" s="122">
        <v>0.0</v>
      </c>
      <c r="H127" s="122">
        <v>0.0</v>
      </c>
      <c r="I127" s="122">
        <v>0.0</v>
      </c>
      <c r="J127" s="122">
        <v>0.0</v>
      </c>
      <c r="K127" s="122">
        <v>0.0</v>
      </c>
      <c r="L127" s="122">
        <v>0.0</v>
      </c>
      <c r="M127" s="122">
        <v>0.0</v>
      </c>
      <c r="N127" s="122">
        <v>0.0</v>
      </c>
      <c r="O127" s="122">
        <v>0.0</v>
      </c>
      <c r="P127" s="122">
        <v>0.0</v>
      </c>
      <c r="Q127" s="122">
        <v>0.0</v>
      </c>
      <c r="R127" s="122">
        <v>0.0</v>
      </c>
      <c r="S127" s="122">
        <v>0.0</v>
      </c>
      <c r="T127" s="122">
        <v>0.0</v>
      </c>
      <c r="U127" s="122">
        <v>0.0</v>
      </c>
      <c r="V127" s="122">
        <v>0.0</v>
      </c>
      <c r="W127" s="122">
        <v>0.0</v>
      </c>
      <c r="X127" s="122">
        <v>0.0</v>
      </c>
      <c r="Y127" s="122">
        <v>0.0</v>
      </c>
      <c r="Z127" s="122">
        <v>0.0</v>
      </c>
      <c r="AA127" s="122">
        <v>0.0</v>
      </c>
      <c r="AB127" s="122">
        <v>0.0</v>
      </c>
      <c r="AC127" s="122">
        <v>0.0</v>
      </c>
      <c r="AD127" s="122">
        <v>0.0</v>
      </c>
      <c r="AE127" s="122">
        <v>0.0</v>
      </c>
      <c r="AF127" s="122">
        <v>0.0</v>
      </c>
    </row>
    <row r="128">
      <c r="A128" s="121" t="s">
        <v>94</v>
      </c>
      <c r="B128" s="123" t="str">
        <f t="shared" ref="B128:AE128" si="19">IFERROR(B129/B127,"-")</f>
        <v>-</v>
      </c>
      <c r="C128" s="123" t="str">
        <f t="shared" si="19"/>
        <v>-</v>
      </c>
      <c r="D128" s="123" t="str">
        <f t="shared" si="19"/>
        <v>-</v>
      </c>
      <c r="E128" s="123" t="str">
        <f t="shared" si="19"/>
        <v>-</v>
      </c>
      <c r="F128" s="123" t="str">
        <f t="shared" si="19"/>
        <v>-</v>
      </c>
      <c r="G128" s="123" t="str">
        <f t="shared" si="19"/>
        <v>-</v>
      </c>
      <c r="H128" s="123" t="str">
        <f t="shared" si="19"/>
        <v>-</v>
      </c>
      <c r="I128" s="123" t="str">
        <f t="shared" si="19"/>
        <v>-</v>
      </c>
      <c r="J128" s="123" t="str">
        <f t="shared" si="19"/>
        <v>-</v>
      </c>
      <c r="K128" s="123" t="str">
        <f t="shared" si="19"/>
        <v>-</v>
      </c>
      <c r="L128" s="123" t="str">
        <f t="shared" si="19"/>
        <v>-</v>
      </c>
      <c r="M128" s="123" t="str">
        <f t="shared" si="19"/>
        <v>-</v>
      </c>
      <c r="N128" s="123" t="str">
        <f t="shared" si="19"/>
        <v>-</v>
      </c>
      <c r="O128" s="123" t="str">
        <f t="shared" si="19"/>
        <v>-</v>
      </c>
      <c r="P128" s="123" t="str">
        <f t="shared" si="19"/>
        <v>-</v>
      </c>
      <c r="Q128" s="123" t="str">
        <f t="shared" si="19"/>
        <v>-</v>
      </c>
      <c r="R128" s="123" t="str">
        <f t="shared" si="19"/>
        <v>-</v>
      </c>
      <c r="S128" s="123" t="str">
        <f t="shared" si="19"/>
        <v>-</v>
      </c>
      <c r="T128" s="123" t="str">
        <f t="shared" si="19"/>
        <v>-</v>
      </c>
      <c r="U128" s="123" t="str">
        <f t="shared" si="19"/>
        <v>-</v>
      </c>
      <c r="V128" s="123" t="str">
        <f t="shared" si="19"/>
        <v>-</v>
      </c>
      <c r="W128" s="123" t="str">
        <f t="shared" si="19"/>
        <v>-</v>
      </c>
      <c r="X128" s="123" t="str">
        <f t="shared" si="19"/>
        <v>-</v>
      </c>
      <c r="Y128" s="123" t="str">
        <f t="shared" si="19"/>
        <v>-</v>
      </c>
      <c r="Z128" s="123" t="str">
        <f t="shared" si="19"/>
        <v>-</v>
      </c>
      <c r="AA128" s="123" t="str">
        <f t="shared" si="19"/>
        <v>-</v>
      </c>
      <c r="AB128" s="123" t="str">
        <f t="shared" si="19"/>
        <v>-</v>
      </c>
      <c r="AC128" s="123" t="str">
        <f t="shared" si="19"/>
        <v>-</v>
      </c>
      <c r="AD128" s="123" t="str">
        <f t="shared" si="19"/>
        <v>-</v>
      </c>
      <c r="AE128" s="123" t="str">
        <f t="shared" si="19"/>
        <v>-</v>
      </c>
      <c r="AF128" s="123"/>
    </row>
    <row r="129">
      <c r="A129" s="121" t="s">
        <v>99</v>
      </c>
      <c r="B129" s="122">
        <v>6.63</v>
      </c>
      <c r="C129" s="122">
        <v>4.81</v>
      </c>
      <c r="D129" s="122">
        <v>6.08</v>
      </c>
      <c r="E129" s="122">
        <v>3.16</v>
      </c>
      <c r="F129" s="122">
        <v>1.78</v>
      </c>
      <c r="G129" s="122">
        <v>0.0</v>
      </c>
      <c r="H129" s="122">
        <v>0.0</v>
      </c>
      <c r="I129" s="122">
        <v>0.0</v>
      </c>
      <c r="J129" s="122">
        <v>3.94</v>
      </c>
      <c r="K129" s="122">
        <v>1.42</v>
      </c>
      <c r="L129" s="122">
        <v>1.3</v>
      </c>
      <c r="M129" s="122">
        <v>2.53</v>
      </c>
      <c r="N129" s="122">
        <v>2.01</v>
      </c>
      <c r="O129" s="122">
        <v>0.68</v>
      </c>
      <c r="P129" s="122">
        <v>1.34</v>
      </c>
      <c r="Q129" s="122">
        <v>0.66</v>
      </c>
      <c r="R129" s="122">
        <v>5.05</v>
      </c>
      <c r="S129" s="122">
        <v>4.71</v>
      </c>
      <c r="T129" s="122">
        <v>2.12</v>
      </c>
      <c r="U129" s="122">
        <v>7.79</v>
      </c>
      <c r="V129" s="122">
        <v>0.87</v>
      </c>
      <c r="W129" s="122">
        <v>0.24</v>
      </c>
      <c r="X129" s="122">
        <v>6.76</v>
      </c>
      <c r="Y129" s="122">
        <v>13.47</v>
      </c>
      <c r="Z129" s="122">
        <v>16.4</v>
      </c>
      <c r="AA129" s="122">
        <v>6.33</v>
      </c>
      <c r="AB129" s="122">
        <v>8.29</v>
      </c>
      <c r="AC129" s="122">
        <v>4.58</v>
      </c>
      <c r="AD129" s="122">
        <v>3.88</v>
      </c>
      <c r="AE129" s="122">
        <v>1.79</v>
      </c>
      <c r="AF129" s="122">
        <v>7.29</v>
      </c>
    </row>
    <row r="130">
      <c r="A130" s="105"/>
      <c r="B130" s="9"/>
      <c r="C130" s="9"/>
      <c r="D130" s="10"/>
      <c r="E130" s="9"/>
      <c r="F130" s="9"/>
      <c r="G130" s="10"/>
      <c r="H130" s="9"/>
      <c r="I130" s="106"/>
      <c r="J130" s="46"/>
      <c r="K130" s="107"/>
      <c r="M130" s="91"/>
      <c r="N130" s="108"/>
    </row>
    <row r="131">
      <c r="A131" s="105"/>
      <c r="B131" s="9"/>
      <c r="C131" s="9"/>
      <c r="D131" s="10"/>
      <c r="E131" s="9"/>
      <c r="F131" s="9"/>
      <c r="G131" s="10"/>
      <c r="H131" s="9"/>
      <c r="I131" s="106"/>
      <c r="J131" s="46"/>
      <c r="K131" s="107"/>
      <c r="M131" s="91"/>
      <c r="N131" s="108"/>
    </row>
    <row r="132">
      <c r="A132" s="105"/>
      <c r="B132" s="9"/>
      <c r="C132" s="9"/>
      <c r="D132" s="10"/>
      <c r="E132" s="9"/>
      <c r="F132" s="9"/>
      <c r="G132" s="10"/>
      <c r="H132" s="9"/>
      <c r="I132" s="106"/>
      <c r="J132" s="46"/>
      <c r="K132" s="107"/>
      <c r="M132" s="91"/>
      <c r="N132" s="108"/>
    </row>
    <row r="133">
      <c r="A133" s="100" t="s">
        <v>104</v>
      </c>
      <c r="B133" s="101" t="s">
        <v>1</v>
      </c>
      <c r="C133" s="102" t="s">
        <v>2</v>
      </c>
      <c r="D133" s="127" t="s">
        <v>3</v>
      </c>
      <c r="E133" s="102" t="s">
        <v>4</v>
      </c>
      <c r="F133" s="103" t="s">
        <v>5</v>
      </c>
      <c r="G133" s="103" t="s">
        <v>6</v>
      </c>
      <c r="H133" s="104" t="s">
        <v>7</v>
      </c>
      <c r="I133" s="104" t="s">
        <v>8</v>
      </c>
      <c r="J133" s="103" t="s">
        <v>10</v>
      </c>
      <c r="K133" s="107"/>
      <c r="M133" s="91"/>
      <c r="N133" s="108"/>
    </row>
    <row r="134">
      <c r="A134" s="105" t="s">
        <v>93</v>
      </c>
      <c r="B134" s="9">
        <f t="shared" ref="B134:C134" si="20">B140+B158</f>
        <v>105</v>
      </c>
      <c r="C134" s="9">
        <f t="shared" si="20"/>
        <v>147</v>
      </c>
      <c r="D134" s="10">
        <f>C134/B134</f>
        <v>1.4</v>
      </c>
      <c r="E134" s="9">
        <f>B134-C134</f>
        <v>-42</v>
      </c>
      <c r="F134" s="9"/>
      <c r="G134" s="10"/>
      <c r="H134" s="9"/>
      <c r="I134" s="106"/>
      <c r="J134" s="46">
        <f>C134/30</f>
        <v>4.9</v>
      </c>
      <c r="K134" s="107"/>
      <c r="M134" s="91"/>
      <c r="N134" s="108"/>
    </row>
    <row r="135">
      <c r="A135" s="105" t="s">
        <v>94</v>
      </c>
      <c r="B135" s="8">
        <f t="shared" ref="B135:C135" si="21">B136/B134</f>
        <v>8047.619048</v>
      </c>
      <c r="C135" s="9">
        <f t="shared" si="21"/>
        <v>5161.627007</v>
      </c>
      <c r="D135" s="10"/>
      <c r="E135" s="109"/>
      <c r="F135" s="9"/>
      <c r="G135" s="10"/>
      <c r="H135" s="109"/>
      <c r="I135" s="109"/>
      <c r="J135" s="107"/>
      <c r="K135" s="107"/>
      <c r="M135" s="91"/>
      <c r="N135" s="108"/>
    </row>
    <row r="136">
      <c r="A136" s="105" t="s">
        <v>95</v>
      </c>
      <c r="B136" s="9">
        <f t="shared" ref="B136:C136" si="22">B142+B160+B169</f>
        <v>845000</v>
      </c>
      <c r="C136" s="9">
        <f t="shared" si="22"/>
        <v>758759.17</v>
      </c>
      <c r="D136" s="10">
        <f>C136/B136</f>
        <v>0.8979398462</v>
      </c>
      <c r="E136" s="9">
        <f>B136-C136</f>
        <v>86240.83</v>
      </c>
      <c r="F136" s="9"/>
      <c r="G136" s="10"/>
      <c r="H136" s="9"/>
      <c r="I136" s="19"/>
      <c r="J136" s="19">
        <f>C136/30</f>
        <v>25291.97233</v>
      </c>
      <c r="K136" s="107"/>
    </row>
    <row r="138">
      <c r="A138" s="110" t="s">
        <v>96</v>
      </c>
      <c r="B138" s="22"/>
      <c r="C138" s="23"/>
      <c r="D138" s="23"/>
      <c r="E138" s="23"/>
      <c r="F138" s="23"/>
      <c r="G138" s="23"/>
      <c r="H138" s="23"/>
      <c r="I138" s="23"/>
      <c r="J138" s="23"/>
      <c r="K138" s="24"/>
      <c r="L138" s="24"/>
    </row>
    <row r="139">
      <c r="A139" s="26" t="s">
        <v>109</v>
      </c>
      <c r="B139" s="27" t="s">
        <v>1</v>
      </c>
      <c r="C139" s="28" t="s">
        <v>2</v>
      </c>
      <c r="D139" s="28" t="str">
        <f>CONCATENATE("Выполнено ",INT('ВАЖ ОП'!AJ113/'ВАЖ ОП'!AK113*100),"%")</f>
        <v>Выполнено 22%</v>
      </c>
      <c r="E139" s="28" t="s">
        <v>4</v>
      </c>
      <c r="F139" s="29" t="s">
        <v>5</v>
      </c>
      <c r="G139" s="29" t="s">
        <v>6</v>
      </c>
      <c r="H139" s="28" t="s">
        <v>7</v>
      </c>
      <c r="I139" s="28" t="s">
        <v>8</v>
      </c>
      <c r="J139" s="29" t="s">
        <v>10</v>
      </c>
      <c r="K139" s="16"/>
      <c r="L139" s="111"/>
    </row>
    <row r="140">
      <c r="A140" s="112" t="s">
        <v>93</v>
      </c>
      <c r="B140" s="113">
        <v>65.0</v>
      </c>
      <c r="C140" s="78">
        <f>SUM(B144:AE144)+1+SUM(B153:AE153)</f>
        <v>100</v>
      </c>
      <c r="D140" s="93">
        <f>C140/B140</f>
        <v>1.538461538</v>
      </c>
      <c r="E140" s="91">
        <f>B140-C140</f>
        <v>-35</v>
      </c>
      <c r="F140" s="78"/>
      <c r="G140" s="93"/>
      <c r="H140" s="78"/>
      <c r="I140" s="114"/>
      <c r="J140" s="115">
        <f>C140/30</f>
        <v>3.333333333</v>
      </c>
      <c r="K140" s="116"/>
      <c r="L140" s="13"/>
    </row>
    <row r="141">
      <c r="A141" s="112" t="s">
        <v>94</v>
      </c>
      <c r="B141" s="78">
        <f t="shared" ref="B141:C141" si="23">B142/B140</f>
        <v>8153.846154</v>
      </c>
      <c r="C141" s="78">
        <f t="shared" si="23"/>
        <v>4795.8291</v>
      </c>
      <c r="D141" s="93"/>
      <c r="E141" s="79"/>
      <c r="F141" s="78"/>
      <c r="G141" s="93"/>
      <c r="H141" s="116"/>
      <c r="I141" s="117"/>
      <c r="J141" s="116"/>
      <c r="K141" s="116"/>
      <c r="L141" s="13"/>
    </row>
    <row r="142">
      <c r="A142" s="112" t="s">
        <v>95</v>
      </c>
      <c r="B142" s="113">
        <v>530000.0</v>
      </c>
      <c r="C142" s="78">
        <f>SUM(B146:AE146)-273.76+SUM(B155:AE155)+6208</f>
        <v>479582.91</v>
      </c>
      <c r="D142" s="93">
        <f>C142/B142</f>
        <v>0.9048734151</v>
      </c>
      <c r="E142" s="78">
        <f>B142-C142</f>
        <v>50417.09</v>
      </c>
      <c r="F142" s="78"/>
      <c r="G142" s="93"/>
      <c r="H142" s="78"/>
      <c r="I142" s="78"/>
      <c r="J142" s="91">
        <f>C142/30</f>
        <v>15986.097</v>
      </c>
      <c r="K142" s="118"/>
      <c r="L142" s="13"/>
    </row>
    <row r="143">
      <c r="A143" s="119" t="s">
        <v>98</v>
      </c>
      <c r="B143" s="128">
        <v>44440.0</v>
      </c>
      <c r="C143" s="128">
        <v>44441.0</v>
      </c>
      <c r="D143" s="128">
        <v>44442.0</v>
      </c>
      <c r="E143" s="128">
        <v>44443.0</v>
      </c>
      <c r="F143" s="128">
        <v>44444.0</v>
      </c>
      <c r="G143" s="128">
        <v>44445.0</v>
      </c>
      <c r="H143" s="128">
        <v>44446.0</v>
      </c>
      <c r="I143" s="128">
        <v>44447.0</v>
      </c>
      <c r="J143" s="128">
        <v>44448.0</v>
      </c>
      <c r="K143" s="128">
        <v>44449.0</v>
      </c>
      <c r="L143" s="128">
        <v>44450.0</v>
      </c>
      <c r="M143" s="128">
        <v>44451.0</v>
      </c>
      <c r="N143" s="128">
        <v>44452.0</v>
      </c>
      <c r="O143" s="128">
        <v>44453.0</v>
      </c>
      <c r="P143" s="128">
        <v>44454.0</v>
      </c>
      <c r="Q143" s="128">
        <v>44455.0</v>
      </c>
      <c r="R143" s="128">
        <v>44456.0</v>
      </c>
      <c r="S143" s="128">
        <v>44457.0</v>
      </c>
      <c r="T143" s="128">
        <v>44458.0</v>
      </c>
      <c r="U143" s="128">
        <v>44459.0</v>
      </c>
      <c r="V143" s="128">
        <v>44460.0</v>
      </c>
      <c r="W143" s="128">
        <v>44461.0</v>
      </c>
      <c r="X143" s="128">
        <v>44462.0</v>
      </c>
      <c r="Y143" s="128">
        <v>44463.0</v>
      </c>
      <c r="Z143" s="128">
        <v>44464.0</v>
      </c>
      <c r="AA143" s="128">
        <v>44465.0</v>
      </c>
      <c r="AB143" s="128">
        <v>44466.0</v>
      </c>
      <c r="AC143" s="128">
        <v>44467.0</v>
      </c>
      <c r="AD143" s="128">
        <v>44468.0</v>
      </c>
      <c r="AE143" s="128">
        <v>44469.0</v>
      </c>
      <c r="AF143" s="128"/>
    </row>
    <row r="144">
      <c r="A144" s="121" t="s">
        <v>93</v>
      </c>
      <c r="B144" s="122">
        <v>5.0</v>
      </c>
      <c r="C144" s="122">
        <v>3.0</v>
      </c>
      <c r="D144" s="122">
        <v>0.0</v>
      </c>
      <c r="E144" s="122">
        <v>3.0</v>
      </c>
      <c r="F144" s="122">
        <v>2.0</v>
      </c>
      <c r="G144" s="122">
        <v>3.0</v>
      </c>
      <c r="H144" s="122">
        <v>2.0</v>
      </c>
      <c r="I144" s="122">
        <v>2.0</v>
      </c>
      <c r="J144" s="122">
        <v>0.0</v>
      </c>
      <c r="K144" s="122">
        <v>0.0</v>
      </c>
      <c r="L144" s="122">
        <v>1.0</v>
      </c>
      <c r="M144" s="122">
        <v>1.0</v>
      </c>
      <c r="N144" s="122">
        <v>2.0</v>
      </c>
      <c r="O144" s="122">
        <v>2.0</v>
      </c>
      <c r="P144" s="122">
        <v>0.0</v>
      </c>
      <c r="Q144" s="122">
        <v>4.0</v>
      </c>
      <c r="R144" s="122">
        <v>5.0</v>
      </c>
      <c r="S144" s="122">
        <v>0.0</v>
      </c>
      <c r="T144" s="122">
        <v>4.0</v>
      </c>
      <c r="U144" s="122">
        <v>8.0</v>
      </c>
      <c r="V144" s="122">
        <v>3.0</v>
      </c>
      <c r="W144" s="122">
        <v>0.0</v>
      </c>
      <c r="X144" s="122">
        <v>3.0</v>
      </c>
      <c r="Y144" s="122">
        <v>6.0</v>
      </c>
      <c r="Z144" s="122">
        <v>1.0</v>
      </c>
      <c r="AA144" s="122">
        <v>0.0</v>
      </c>
      <c r="AB144" s="122">
        <v>5.0</v>
      </c>
      <c r="AC144" s="122">
        <v>6.0</v>
      </c>
      <c r="AD144" s="122">
        <v>4.0</v>
      </c>
      <c r="AE144" s="122">
        <v>4.0</v>
      </c>
      <c r="AF144" s="123"/>
    </row>
    <row r="145">
      <c r="A145" s="121" t="s">
        <v>94</v>
      </c>
      <c r="B145" s="123">
        <f t="shared" ref="B145:AE145" si="24">IFERROR(B146/B144,"-")</f>
        <v>1802.398</v>
      </c>
      <c r="C145" s="123">
        <f t="shared" si="24"/>
        <v>4672.826667</v>
      </c>
      <c r="D145" s="123" t="str">
        <f t="shared" si="24"/>
        <v>-</v>
      </c>
      <c r="E145" s="123">
        <f t="shared" si="24"/>
        <v>3628.946667</v>
      </c>
      <c r="F145" s="123">
        <f t="shared" si="24"/>
        <v>5358.13</v>
      </c>
      <c r="G145" s="123">
        <f t="shared" si="24"/>
        <v>7403.266667</v>
      </c>
      <c r="H145" s="123">
        <f t="shared" si="24"/>
        <v>7819.025</v>
      </c>
      <c r="I145" s="123">
        <f t="shared" si="24"/>
        <v>8647.86</v>
      </c>
      <c r="J145" s="123" t="str">
        <f t="shared" si="24"/>
        <v>-</v>
      </c>
      <c r="K145" s="123" t="str">
        <f t="shared" si="24"/>
        <v>-</v>
      </c>
      <c r="L145" s="123">
        <f t="shared" si="24"/>
        <v>11282.14</v>
      </c>
      <c r="M145" s="123">
        <f t="shared" si="24"/>
        <v>11685.56</v>
      </c>
      <c r="N145" s="123">
        <f t="shared" si="24"/>
        <v>7405.375</v>
      </c>
      <c r="O145" s="123">
        <f t="shared" si="24"/>
        <v>7662.625</v>
      </c>
      <c r="P145" s="123" t="str">
        <f t="shared" si="24"/>
        <v>-</v>
      </c>
      <c r="Q145" s="123">
        <f t="shared" si="24"/>
        <v>4071.0025</v>
      </c>
      <c r="R145" s="123">
        <f t="shared" si="24"/>
        <v>3232.872</v>
      </c>
      <c r="S145" s="123" t="str">
        <f t="shared" si="24"/>
        <v>-</v>
      </c>
      <c r="T145" s="123">
        <f t="shared" si="24"/>
        <v>2941.7975</v>
      </c>
      <c r="U145" s="123">
        <f t="shared" si="24"/>
        <v>1781.06625</v>
      </c>
      <c r="V145" s="123">
        <f t="shared" si="24"/>
        <v>4900.456667</v>
      </c>
      <c r="W145" s="123" t="str">
        <f t="shared" si="24"/>
        <v>-</v>
      </c>
      <c r="X145" s="123">
        <f t="shared" si="24"/>
        <v>5388.853333</v>
      </c>
      <c r="Y145" s="123">
        <f t="shared" si="24"/>
        <v>2805.548333</v>
      </c>
      <c r="Z145" s="123">
        <f t="shared" si="24"/>
        <v>9633.95</v>
      </c>
      <c r="AA145" s="123" t="str">
        <f t="shared" si="24"/>
        <v>-</v>
      </c>
      <c r="AB145" s="123">
        <f t="shared" si="24"/>
        <v>2403.92</v>
      </c>
      <c r="AC145" s="123">
        <f t="shared" si="24"/>
        <v>2995.498333</v>
      </c>
      <c r="AD145" s="123">
        <f t="shared" si="24"/>
        <v>2335.7625</v>
      </c>
      <c r="AE145" s="123">
        <f t="shared" si="24"/>
        <v>3054.1075</v>
      </c>
      <c r="AF145" s="123"/>
    </row>
    <row r="146">
      <c r="A146" s="121" t="s">
        <v>99</v>
      </c>
      <c r="B146" s="122">
        <v>9011.99</v>
      </c>
      <c r="C146" s="122">
        <v>14018.48</v>
      </c>
      <c r="D146" s="122">
        <v>14495.67</v>
      </c>
      <c r="E146" s="122">
        <v>10886.84</v>
      </c>
      <c r="F146" s="122">
        <v>10716.26</v>
      </c>
      <c r="G146" s="122">
        <v>22209.8</v>
      </c>
      <c r="H146" s="122">
        <v>15638.05</v>
      </c>
      <c r="I146" s="122">
        <v>17295.72</v>
      </c>
      <c r="J146" s="122">
        <v>15425.51</v>
      </c>
      <c r="K146" s="122">
        <v>15436.25</v>
      </c>
      <c r="L146" s="122">
        <v>11282.14</v>
      </c>
      <c r="M146" s="122">
        <v>11685.56</v>
      </c>
      <c r="N146" s="122">
        <v>14810.75</v>
      </c>
      <c r="O146" s="122">
        <v>15325.25</v>
      </c>
      <c r="P146" s="122">
        <v>13708.1</v>
      </c>
      <c r="Q146" s="122">
        <v>16284.01</v>
      </c>
      <c r="R146" s="122">
        <v>16164.36</v>
      </c>
      <c r="S146" s="122">
        <v>13690.32</v>
      </c>
      <c r="T146" s="122">
        <v>11767.19</v>
      </c>
      <c r="U146" s="122">
        <v>14248.53</v>
      </c>
      <c r="V146" s="122">
        <v>14701.37</v>
      </c>
      <c r="W146" s="122">
        <v>14955.21</v>
      </c>
      <c r="X146" s="122">
        <v>16166.56</v>
      </c>
      <c r="Y146" s="122">
        <v>16833.29</v>
      </c>
      <c r="Z146" s="122">
        <v>9633.95</v>
      </c>
      <c r="AA146" s="122">
        <v>10216.22</v>
      </c>
      <c r="AB146" s="122">
        <v>12019.6</v>
      </c>
      <c r="AC146" s="122">
        <v>17972.99</v>
      </c>
      <c r="AD146" s="122">
        <v>9343.05</v>
      </c>
      <c r="AE146" s="122">
        <v>12216.43</v>
      </c>
      <c r="AF146" s="123"/>
    </row>
    <row r="147">
      <c r="A147" s="51"/>
      <c r="B147" s="87"/>
      <c r="C147" s="85"/>
      <c r="D147" s="85"/>
      <c r="E147" s="85"/>
      <c r="F147" s="85"/>
      <c r="G147" s="85"/>
      <c r="H147" s="85"/>
      <c r="I147" s="85"/>
      <c r="J147" s="85"/>
      <c r="K147" s="51"/>
      <c r="L147" s="51"/>
    </row>
    <row r="148">
      <c r="A148" s="26" t="s">
        <v>106</v>
      </c>
      <c r="B148" s="27" t="s">
        <v>1</v>
      </c>
      <c r="C148" s="28" t="s">
        <v>2</v>
      </c>
      <c r="D148" s="28" t="str">
        <f>CONCATENATE("Выполнено ",INT('ВАЖ ОП'!AJ113/'ВАЖ ОП'!AK113*100),"%")</f>
        <v>Выполнено 22%</v>
      </c>
      <c r="E148" s="28" t="s">
        <v>4</v>
      </c>
      <c r="F148" s="29" t="s">
        <v>5</v>
      </c>
      <c r="G148" s="29" t="s">
        <v>6</v>
      </c>
      <c r="H148" s="28" t="s">
        <v>7</v>
      </c>
      <c r="I148" s="28" t="s">
        <v>8</v>
      </c>
      <c r="J148" s="29" t="s">
        <v>10</v>
      </c>
      <c r="K148" s="16"/>
      <c r="L148" s="51"/>
    </row>
    <row r="149">
      <c r="A149" s="112" t="s">
        <v>93</v>
      </c>
      <c r="B149" s="113" t="s">
        <v>110</v>
      </c>
      <c r="C149" s="78">
        <f>SUM(B153:AE153)</f>
        <v>20</v>
      </c>
      <c r="D149" s="135"/>
      <c r="E149" s="91"/>
      <c r="F149" s="78"/>
      <c r="G149" s="136"/>
      <c r="H149" s="78"/>
      <c r="I149" s="114"/>
      <c r="J149" s="115">
        <f>C149/30</f>
        <v>0.6666666667</v>
      </c>
      <c r="K149" s="13"/>
      <c r="L149" s="13"/>
    </row>
    <row r="150">
      <c r="A150" s="112" t="s">
        <v>94</v>
      </c>
      <c r="B150" s="113" t="s">
        <v>110</v>
      </c>
      <c r="C150" s="132">
        <f>IFERROR(C151/C149,"-")</f>
        <v>3084.861</v>
      </c>
      <c r="D150" s="93"/>
      <c r="E150" s="84"/>
      <c r="F150" s="132"/>
      <c r="H150" s="79"/>
      <c r="I150" s="78"/>
      <c r="J150" s="116"/>
      <c r="K150" s="13"/>
      <c r="L150" s="13"/>
    </row>
    <row r="151">
      <c r="A151" s="112" t="s">
        <v>95</v>
      </c>
      <c r="B151" s="113" t="s">
        <v>110</v>
      </c>
      <c r="C151" s="78">
        <f>SUM(B155:AE155)+6208</f>
        <v>61697.22</v>
      </c>
      <c r="D151" s="135"/>
      <c r="E151" s="78"/>
      <c r="F151" s="78"/>
      <c r="G151" s="136"/>
      <c r="H151" s="78"/>
      <c r="I151" s="78"/>
      <c r="J151" s="91">
        <f>C151/30</f>
        <v>2056.574</v>
      </c>
      <c r="K151" s="87"/>
      <c r="L151" s="13"/>
    </row>
    <row r="152">
      <c r="A152" s="119" t="s">
        <v>108</v>
      </c>
      <c r="B152" s="128">
        <v>44440.0</v>
      </c>
      <c r="C152" s="128">
        <v>44441.0</v>
      </c>
      <c r="D152" s="128">
        <v>44442.0</v>
      </c>
      <c r="E152" s="128">
        <v>44443.0</v>
      </c>
      <c r="F152" s="128">
        <v>44444.0</v>
      </c>
      <c r="G152" s="128">
        <v>44445.0</v>
      </c>
      <c r="H152" s="128">
        <v>44446.0</v>
      </c>
      <c r="I152" s="128">
        <v>44447.0</v>
      </c>
      <c r="J152" s="128">
        <v>44448.0</v>
      </c>
      <c r="K152" s="128">
        <v>44449.0</v>
      </c>
      <c r="L152" s="128">
        <v>44450.0</v>
      </c>
      <c r="M152" s="128">
        <v>44451.0</v>
      </c>
      <c r="N152" s="128">
        <v>44452.0</v>
      </c>
      <c r="O152" s="128">
        <v>44453.0</v>
      </c>
      <c r="P152" s="128">
        <v>44454.0</v>
      </c>
      <c r="Q152" s="128">
        <v>44455.0</v>
      </c>
      <c r="R152" s="128">
        <v>44456.0</v>
      </c>
      <c r="S152" s="128">
        <v>44457.0</v>
      </c>
      <c r="T152" s="128">
        <v>44458.0</v>
      </c>
      <c r="U152" s="128">
        <v>44459.0</v>
      </c>
      <c r="V152" s="128">
        <v>44460.0</v>
      </c>
      <c r="W152" s="128">
        <v>44461.0</v>
      </c>
      <c r="X152" s="128">
        <v>44462.0</v>
      </c>
      <c r="Y152" s="128">
        <v>44463.0</v>
      </c>
      <c r="Z152" s="128">
        <v>44464.0</v>
      </c>
      <c r="AA152" s="128">
        <v>44465.0</v>
      </c>
      <c r="AB152" s="128">
        <v>44466.0</v>
      </c>
      <c r="AC152" s="128">
        <v>44467.0</v>
      </c>
      <c r="AD152" s="128">
        <v>44468.0</v>
      </c>
      <c r="AE152" s="128">
        <v>44469.0</v>
      </c>
      <c r="AF152" s="128"/>
    </row>
    <row r="153">
      <c r="A153" s="121" t="s">
        <v>93</v>
      </c>
      <c r="B153" s="122">
        <v>1.0</v>
      </c>
      <c r="C153" s="122">
        <v>0.0</v>
      </c>
      <c r="D153" s="122">
        <v>0.0</v>
      </c>
      <c r="E153" s="122">
        <v>1.0</v>
      </c>
      <c r="F153" s="122">
        <v>0.0</v>
      </c>
      <c r="G153" s="122">
        <v>2.0</v>
      </c>
      <c r="H153" s="122">
        <v>1.0</v>
      </c>
      <c r="I153" s="122">
        <v>1.0</v>
      </c>
      <c r="J153" s="122">
        <v>0.0</v>
      </c>
      <c r="K153" s="122">
        <v>0.0</v>
      </c>
      <c r="L153" s="122">
        <v>0.0</v>
      </c>
      <c r="M153" s="122">
        <v>0.0</v>
      </c>
      <c r="N153" s="122">
        <v>1.0</v>
      </c>
      <c r="O153" s="122">
        <v>0.0</v>
      </c>
      <c r="P153" s="122">
        <v>0.0</v>
      </c>
      <c r="Q153" s="122">
        <v>0.0</v>
      </c>
      <c r="R153" s="122">
        <v>0.0</v>
      </c>
      <c r="S153" s="122">
        <v>1.0</v>
      </c>
      <c r="T153" s="122">
        <v>1.0</v>
      </c>
      <c r="U153" s="122">
        <v>0.0</v>
      </c>
      <c r="V153" s="122">
        <v>0.0</v>
      </c>
      <c r="W153" s="122">
        <v>0.0</v>
      </c>
      <c r="X153" s="122">
        <v>3.0</v>
      </c>
      <c r="Y153" s="122">
        <v>1.0</v>
      </c>
      <c r="Z153" s="122">
        <v>3.0</v>
      </c>
      <c r="AA153" s="122">
        <v>1.0</v>
      </c>
      <c r="AB153" s="122">
        <v>1.0</v>
      </c>
      <c r="AC153" s="122">
        <v>0.0</v>
      </c>
      <c r="AD153" s="122">
        <v>1.0</v>
      </c>
      <c r="AE153" s="122">
        <v>1.0</v>
      </c>
      <c r="AF153" s="123"/>
    </row>
    <row r="154">
      <c r="A154" s="121" t="s">
        <v>94</v>
      </c>
      <c r="B154" s="123">
        <f t="shared" ref="B154:AE154" si="25">IFERROR(B155/B153,"-")</f>
        <v>79.48</v>
      </c>
      <c r="C154" s="123" t="str">
        <f t="shared" si="25"/>
        <v>-</v>
      </c>
      <c r="D154" s="123" t="str">
        <f t="shared" si="25"/>
        <v>-</v>
      </c>
      <c r="E154" s="123">
        <f t="shared" si="25"/>
        <v>3194.2</v>
      </c>
      <c r="F154" s="123" t="str">
        <f t="shared" si="25"/>
        <v>-</v>
      </c>
      <c r="G154" s="123">
        <f t="shared" si="25"/>
        <v>90.285</v>
      </c>
      <c r="H154" s="123">
        <f t="shared" si="25"/>
        <v>78.78</v>
      </c>
      <c r="I154" s="123">
        <f t="shared" si="25"/>
        <v>103.62</v>
      </c>
      <c r="J154" s="123" t="str">
        <f t="shared" si="25"/>
        <v>-</v>
      </c>
      <c r="K154" s="123" t="str">
        <f t="shared" si="25"/>
        <v>-</v>
      </c>
      <c r="L154" s="123" t="str">
        <f t="shared" si="25"/>
        <v>-</v>
      </c>
      <c r="M154" s="123" t="str">
        <f t="shared" si="25"/>
        <v>-</v>
      </c>
      <c r="N154" s="123">
        <f t="shared" si="25"/>
        <v>3571.32</v>
      </c>
      <c r="O154" s="123" t="str">
        <f t="shared" si="25"/>
        <v>-</v>
      </c>
      <c r="P154" s="123" t="str">
        <f t="shared" si="25"/>
        <v>-</v>
      </c>
      <c r="Q154" s="123" t="str">
        <f t="shared" si="25"/>
        <v>-</v>
      </c>
      <c r="R154" s="123" t="str">
        <f t="shared" si="25"/>
        <v>-</v>
      </c>
      <c r="S154" s="123">
        <f t="shared" si="25"/>
        <v>3363.07</v>
      </c>
      <c r="T154" s="123">
        <f t="shared" si="25"/>
        <v>6515.75</v>
      </c>
      <c r="U154" s="123" t="str">
        <f t="shared" si="25"/>
        <v>-</v>
      </c>
      <c r="V154" s="123" t="str">
        <f t="shared" si="25"/>
        <v>-</v>
      </c>
      <c r="W154" s="123" t="str">
        <f t="shared" si="25"/>
        <v>-</v>
      </c>
      <c r="X154" s="123">
        <f t="shared" si="25"/>
        <v>2152.283333</v>
      </c>
      <c r="Y154" s="123">
        <f t="shared" si="25"/>
        <v>17.22</v>
      </c>
      <c r="Z154" s="123">
        <f t="shared" si="25"/>
        <v>2129.463333</v>
      </c>
      <c r="AA154" s="123">
        <f t="shared" si="25"/>
        <v>139.03</v>
      </c>
      <c r="AB154" s="123">
        <f t="shared" si="25"/>
        <v>241.87</v>
      </c>
      <c r="AC154" s="123" t="str">
        <f t="shared" si="25"/>
        <v>-</v>
      </c>
      <c r="AD154" s="123">
        <f t="shared" si="25"/>
        <v>233.12</v>
      </c>
      <c r="AE154" s="123">
        <f t="shared" si="25"/>
        <v>38.08</v>
      </c>
      <c r="AF154" s="123"/>
    </row>
    <row r="155">
      <c r="A155" s="121" t="s">
        <v>99</v>
      </c>
      <c r="B155" s="122">
        <v>79.48</v>
      </c>
      <c r="C155" s="122">
        <v>93.64</v>
      </c>
      <c r="D155" s="122">
        <v>63.24</v>
      </c>
      <c r="E155" s="122">
        <v>3194.2</v>
      </c>
      <c r="F155" s="122">
        <v>52.27</v>
      </c>
      <c r="G155" s="122">
        <v>180.57</v>
      </c>
      <c r="H155" s="122">
        <v>78.78</v>
      </c>
      <c r="I155" s="122">
        <v>103.62</v>
      </c>
      <c r="J155" s="122">
        <v>3408.91</v>
      </c>
      <c r="K155" s="122">
        <v>3621.3</v>
      </c>
      <c r="L155" s="122">
        <v>3240.86</v>
      </c>
      <c r="M155" s="122">
        <v>3540.05</v>
      </c>
      <c r="N155" s="122">
        <v>3571.32</v>
      </c>
      <c r="O155" s="122">
        <v>178.6</v>
      </c>
      <c r="P155" s="122">
        <v>157.92</v>
      </c>
      <c r="Q155" s="122">
        <v>3403.15</v>
      </c>
      <c r="R155" s="122">
        <v>138.16</v>
      </c>
      <c r="S155" s="122">
        <v>3363.07</v>
      </c>
      <c r="T155" s="122">
        <v>6515.75</v>
      </c>
      <c r="U155" s="122">
        <v>325.03</v>
      </c>
      <c r="V155" s="122">
        <v>50.61</v>
      </c>
      <c r="W155" s="122">
        <v>3367.89</v>
      </c>
      <c r="X155" s="122">
        <v>6456.85</v>
      </c>
      <c r="Y155" s="122">
        <v>17.22</v>
      </c>
      <c r="Z155" s="122">
        <v>6388.39</v>
      </c>
      <c r="AA155" s="122">
        <v>139.03</v>
      </c>
      <c r="AB155" s="122">
        <v>241.87</v>
      </c>
      <c r="AC155" s="122">
        <v>3246.24</v>
      </c>
      <c r="AD155" s="122">
        <v>233.12</v>
      </c>
      <c r="AE155" s="122">
        <v>38.08</v>
      </c>
      <c r="AF155" s="123"/>
    </row>
    <row r="156">
      <c r="A156" s="35"/>
      <c r="B156" s="53"/>
      <c r="C156" s="53"/>
      <c r="D156" s="53"/>
      <c r="E156" s="53"/>
      <c r="F156" s="55"/>
      <c r="G156" s="55"/>
      <c r="H156" s="54"/>
      <c r="I156" s="54"/>
      <c r="J156" s="54"/>
      <c r="K156" s="54"/>
      <c r="L156" s="54"/>
    </row>
    <row r="157">
      <c r="A157" s="26" t="s">
        <v>100</v>
      </c>
      <c r="B157" s="27" t="s">
        <v>1</v>
      </c>
      <c r="C157" s="28" t="s">
        <v>2</v>
      </c>
      <c r="D157" s="28" t="str">
        <f>CONCATENATE("Выполнено ",INT('ВАЖ ОП'!AJ113/'ВАЖ ОП'!AK113*100),"%")</f>
        <v>Выполнено 22%</v>
      </c>
      <c r="E157" s="28" t="s">
        <v>4</v>
      </c>
      <c r="F157" s="29" t="s">
        <v>5</v>
      </c>
      <c r="G157" s="29" t="s">
        <v>6</v>
      </c>
      <c r="H157" s="28" t="s">
        <v>7</v>
      </c>
      <c r="I157" s="28" t="s">
        <v>8</v>
      </c>
      <c r="J157" s="29" t="s">
        <v>10</v>
      </c>
      <c r="K157" s="16"/>
      <c r="L157" s="51"/>
    </row>
    <row r="158">
      <c r="A158" s="112" t="s">
        <v>93</v>
      </c>
      <c r="B158" s="113">
        <v>40.0</v>
      </c>
      <c r="C158" s="78">
        <f>SUM(B162:AE162)</f>
        <v>47</v>
      </c>
      <c r="D158" s="93">
        <f>C158/B158</f>
        <v>1.175</v>
      </c>
      <c r="E158" s="91">
        <f>B158-C158</f>
        <v>-7</v>
      </c>
      <c r="F158" s="78"/>
      <c r="G158" s="129"/>
      <c r="H158" s="78"/>
      <c r="I158" s="114"/>
      <c r="J158" s="115">
        <f>C158/30</f>
        <v>1.566666667</v>
      </c>
      <c r="K158" s="79"/>
      <c r="L158" s="79"/>
    </row>
    <row r="159">
      <c r="A159" s="112" t="s">
        <v>94</v>
      </c>
      <c r="B159" s="78">
        <f t="shared" ref="B159:C159" si="26">B160/B158</f>
        <v>7500</v>
      </c>
      <c r="C159" s="78">
        <f t="shared" si="26"/>
        <v>5936.606383</v>
      </c>
      <c r="D159" s="93"/>
      <c r="E159" s="79"/>
      <c r="F159" s="78"/>
      <c r="G159" s="93"/>
      <c r="H159" s="79"/>
      <c r="I159" s="78"/>
      <c r="J159" s="116"/>
      <c r="K159" s="79"/>
      <c r="L159" s="79"/>
    </row>
    <row r="160">
      <c r="A160" s="112" t="s">
        <v>95</v>
      </c>
      <c r="B160" s="113">
        <v>300000.0</v>
      </c>
      <c r="C160" s="78">
        <f>SUM(B164:AE164)-26.14</f>
        <v>279020.5</v>
      </c>
      <c r="D160" s="93">
        <f>C160/B160</f>
        <v>0.9300683333</v>
      </c>
      <c r="E160" s="78">
        <f>B160-C160</f>
        <v>20979.5</v>
      </c>
      <c r="F160" s="78"/>
      <c r="G160" s="129"/>
      <c r="H160" s="78"/>
      <c r="I160" s="78"/>
      <c r="J160" s="91">
        <f>C160/30</f>
        <v>9300.683333</v>
      </c>
      <c r="K160" s="79"/>
      <c r="L160" s="79"/>
    </row>
    <row r="161">
      <c r="A161" s="119" t="s">
        <v>101</v>
      </c>
      <c r="B161" s="128">
        <v>44440.0</v>
      </c>
      <c r="C161" s="128">
        <v>44441.0</v>
      </c>
      <c r="D161" s="128">
        <v>44442.0</v>
      </c>
      <c r="E161" s="128">
        <v>44443.0</v>
      </c>
      <c r="F161" s="128">
        <v>44444.0</v>
      </c>
      <c r="G161" s="128">
        <v>44445.0</v>
      </c>
      <c r="H161" s="128">
        <v>44446.0</v>
      </c>
      <c r="I161" s="128">
        <v>44447.0</v>
      </c>
      <c r="J161" s="128">
        <v>44448.0</v>
      </c>
      <c r="K161" s="128">
        <v>44449.0</v>
      </c>
      <c r="L161" s="128">
        <v>44450.0</v>
      </c>
      <c r="M161" s="128">
        <v>44451.0</v>
      </c>
      <c r="N161" s="128">
        <v>44452.0</v>
      </c>
      <c r="O161" s="128">
        <v>44453.0</v>
      </c>
      <c r="P161" s="128">
        <v>44454.0</v>
      </c>
      <c r="Q161" s="128">
        <v>44455.0</v>
      </c>
      <c r="R161" s="128">
        <v>44456.0</v>
      </c>
      <c r="S161" s="128">
        <v>44457.0</v>
      </c>
      <c r="T161" s="128">
        <v>44458.0</v>
      </c>
      <c r="U161" s="128">
        <v>44459.0</v>
      </c>
      <c r="V161" s="128">
        <v>44460.0</v>
      </c>
      <c r="W161" s="128">
        <v>44461.0</v>
      </c>
      <c r="X161" s="128">
        <v>44462.0</v>
      </c>
      <c r="Y161" s="128">
        <v>44463.0</v>
      </c>
      <c r="Z161" s="128">
        <v>44464.0</v>
      </c>
      <c r="AA161" s="128">
        <v>44465.0</v>
      </c>
      <c r="AB161" s="128">
        <v>44466.0</v>
      </c>
      <c r="AC161" s="128">
        <v>44467.0</v>
      </c>
      <c r="AD161" s="128">
        <v>44468.0</v>
      </c>
      <c r="AE161" s="128">
        <v>44469.0</v>
      </c>
      <c r="AF161" s="128"/>
    </row>
    <row r="162">
      <c r="A162" s="121" t="s">
        <v>93</v>
      </c>
      <c r="B162" s="122">
        <v>2.0</v>
      </c>
      <c r="C162" s="122">
        <v>1.0</v>
      </c>
      <c r="D162" s="122">
        <v>3.0</v>
      </c>
      <c r="E162" s="122">
        <v>1.0</v>
      </c>
      <c r="F162" s="122">
        <v>4.0</v>
      </c>
      <c r="G162" s="122">
        <v>1.0</v>
      </c>
      <c r="H162" s="122">
        <v>1.0</v>
      </c>
      <c r="I162" s="122">
        <v>2.0</v>
      </c>
      <c r="J162" s="122">
        <v>1.0</v>
      </c>
      <c r="K162" s="122">
        <v>3.0</v>
      </c>
      <c r="L162" s="122">
        <v>1.0</v>
      </c>
      <c r="M162" s="122">
        <v>2.0</v>
      </c>
      <c r="N162" s="122">
        <v>4.0</v>
      </c>
      <c r="O162" s="122">
        <v>2.0</v>
      </c>
      <c r="P162" s="122">
        <v>0.0</v>
      </c>
      <c r="Q162" s="122">
        <v>0.0</v>
      </c>
      <c r="R162" s="122">
        <v>0.0</v>
      </c>
      <c r="S162" s="122">
        <v>3.0</v>
      </c>
      <c r="T162" s="122">
        <v>1.0</v>
      </c>
      <c r="U162" s="122">
        <v>1.0</v>
      </c>
      <c r="V162" s="122">
        <v>0.0</v>
      </c>
      <c r="W162" s="122">
        <v>1.0</v>
      </c>
      <c r="X162" s="122">
        <v>3.0</v>
      </c>
      <c r="Y162" s="122">
        <v>3.0</v>
      </c>
      <c r="Z162" s="122">
        <v>1.0</v>
      </c>
      <c r="AA162" s="122">
        <v>1.0</v>
      </c>
      <c r="AB162" s="122">
        <v>1.0</v>
      </c>
      <c r="AC162" s="122">
        <v>0.0</v>
      </c>
      <c r="AD162" s="122">
        <v>2.0</v>
      </c>
      <c r="AE162" s="122">
        <v>2.0</v>
      </c>
      <c r="AF162" s="123"/>
    </row>
    <row r="163">
      <c r="A163" s="121" t="s">
        <v>94</v>
      </c>
      <c r="B163" s="123">
        <f t="shared" ref="B163:AE163" si="27">IFERROR(B164/B162,"-")</f>
        <v>3477.605</v>
      </c>
      <c r="C163" s="123">
        <f t="shared" si="27"/>
        <v>12946.45</v>
      </c>
      <c r="D163" s="123">
        <f t="shared" si="27"/>
        <v>3139.57</v>
      </c>
      <c r="E163" s="123">
        <f t="shared" si="27"/>
        <v>11067.04</v>
      </c>
      <c r="F163" s="123">
        <f t="shared" si="27"/>
        <v>2891.51</v>
      </c>
      <c r="G163" s="123">
        <f t="shared" si="27"/>
        <v>9968.94</v>
      </c>
      <c r="H163" s="123">
        <f t="shared" si="27"/>
        <v>7285.61</v>
      </c>
      <c r="I163" s="123">
        <f t="shared" si="27"/>
        <v>5487.16</v>
      </c>
      <c r="J163" s="123">
        <f t="shared" si="27"/>
        <v>10222.31</v>
      </c>
      <c r="K163" s="123">
        <f t="shared" si="27"/>
        <v>3116.183333</v>
      </c>
      <c r="L163" s="123">
        <f t="shared" si="27"/>
        <v>8166.66</v>
      </c>
      <c r="M163" s="123">
        <f t="shared" si="27"/>
        <v>4647.65</v>
      </c>
      <c r="N163" s="123">
        <f t="shared" si="27"/>
        <v>2600.66</v>
      </c>
      <c r="O163" s="123">
        <f t="shared" si="27"/>
        <v>4501.645</v>
      </c>
      <c r="P163" s="123" t="str">
        <f t="shared" si="27"/>
        <v>-</v>
      </c>
      <c r="Q163" s="123" t="str">
        <f t="shared" si="27"/>
        <v>-</v>
      </c>
      <c r="R163" s="123" t="str">
        <f t="shared" si="27"/>
        <v>-</v>
      </c>
      <c r="S163" s="123">
        <f t="shared" si="27"/>
        <v>3333.93</v>
      </c>
      <c r="T163" s="123">
        <f t="shared" si="27"/>
        <v>8155.37</v>
      </c>
      <c r="U163" s="123">
        <f t="shared" si="27"/>
        <v>10821.21</v>
      </c>
      <c r="V163" s="123" t="str">
        <f t="shared" si="27"/>
        <v>-</v>
      </c>
      <c r="W163" s="123">
        <f t="shared" si="27"/>
        <v>8557.63</v>
      </c>
      <c r="X163" s="123">
        <f t="shared" si="27"/>
        <v>3065.946667</v>
      </c>
      <c r="Y163" s="123">
        <f t="shared" si="27"/>
        <v>3514.26</v>
      </c>
      <c r="Z163" s="123">
        <f t="shared" si="27"/>
        <v>8001.65</v>
      </c>
      <c r="AA163" s="123">
        <f t="shared" si="27"/>
        <v>7200.64</v>
      </c>
      <c r="AB163" s="123">
        <f t="shared" si="27"/>
        <v>8723.01</v>
      </c>
      <c r="AC163" s="123" t="str">
        <f t="shared" si="27"/>
        <v>-</v>
      </c>
      <c r="AD163" s="123">
        <f t="shared" si="27"/>
        <v>4063.83</v>
      </c>
      <c r="AE163" s="123">
        <f t="shared" si="27"/>
        <v>3563.47</v>
      </c>
      <c r="AF163" s="123"/>
    </row>
    <row r="164">
      <c r="A164" s="121" t="s">
        <v>99</v>
      </c>
      <c r="B164" s="122">
        <v>6955.21</v>
      </c>
      <c r="C164" s="122">
        <v>12946.45</v>
      </c>
      <c r="D164" s="122">
        <v>9418.71</v>
      </c>
      <c r="E164" s="122">
        <v>11067.04</v>
      </c>
      <c r="F164" s="122">
        <v>11566.04</v>
      </c>
      <c r="G164" s="122">
        <v>9968.94</v>
      </c>
      <c r="H164" s="122">
        <v>7285.61</v>
      </c>
      <c r="I164" s="122">
        <v>10974.32</v>
      </c>
      <c r="J164" s="122">
        <v>10222.31</v>
      </c>
      <c r="K164" s="122">
        <v>9348.55</v>
      </c>
      <c r="L164" s="122">
        <v>8166.66</v>
      </c>
      <c r="M164" s="122">
        <v>9295.3</v>
      </c>
      <c r="N164" s="122">
        <v>10402.64</v>
      </c>
      <c r="O164" s="122">
        <v>9003.29</v>
      </c>
      <c r="P164" s="122">
        <v>10450.49</v>
      </c>
      <c r="Q164" s="122">
        <v>10772.15</v>
      </c>
      <c r="R164" s="122">
        <v>8549.56</v>
      </c>
      <c r="S164" s="122">
        <v>10001.79</v>
      </c>
      <c r="T164" s="122">
        <v>8155.37</v>
      </c>
      <c r="U164" s="122">
        <v>10821.21</v>
      </c>
      <c r="V164" s="122">
        <v>8938.37</v>
      </c>
      <c r="W164" s="122">
        <v>8557.63</v>
      </c>
      <c r="X164" s="122">
        <v>9197.84</v>
      </c>
      <c r="Y164" s="122">
        <v>10542.78</v>
      </c>
      <c r="Z164" s="122">
        <v>8001.65</v>
      </c>
      <c r="AA164" s="122">
        <v>7200.64</v>
      </c>
      <c r="AB164" s="122">
        <v>8723.01</v>
      </c>
      <c r="AC164" s="122">
        <v>7258.48</v>
      </c>
      <c r="AD164" s="122">
        <v>8127.66</v>
      </c>
      <c r="AE164" s="122">
        <v>7126.94</v>
      </c>
      <c r="AF164" s="123"/>
    </row>
    <row r="166">
      <c r="A166" s="26" t="s">
        <v>113</v>
      </c>
      <c r="B166" s="27" t="s">
        <v>1</v>
      </c>
      <c r="C166" s="28" t="s">
        <v>2</v>
      </c>
      <c r="D166" s="28" t="str">
        <f>CONCATENATE("Выполнено ",INT('ВАЖ ОП'!AJ113/'ВАЖ ОП'!AK113*100),"%")</f>
        <v>Выполнено 22%</v>
      </c>
      <c r="E166" s="28" t="s">
        <v>4</v>
      </c>
      <c r="F166" s="29" t="s">
        <v>5</v>
      </c>
      <c r="G166" s="29" t="s">
        <v>6</v>
      </c>
      <c r="H166" s="28" t="s">
        <v>7</v>
      </c>
      <c r="I166" s="28" t="s">
        <v>8</v>
      </c>
      <c r="J166" s="29" t="s">
        <v>10</v>
      </c>
      <c r="K166" s="16"/>
      <c r="L166" s="51"/>
    </row>
    <row r="167">
      <c r="A167" s="112" t="s">
        <v>93</v>
      </c>
      <c r="B167" s="113" t="s">
        <v>110</v>
      </c>
      <c r="C167" s="78">
        <f>SUM(B171:AE171)</f>
        <v>0</v>
      </c>
      <c r="D167" s="135"/>
      <c r="E167" s="91"/>
      <c r="F167" s="78"/>
      <c r="H167" s="78"/>
      <c r="I167" s="114"/>
      <c r="J167" s="115"/>
      <c r="K167" s="79"/>
      <c r="L167" s="79"/>
    </row>
    <row r="168">
      <c r="A168" s="112" t="s">
        <v>94</v>
      </c>
      <c r="B168" s="113" t="s">
        <v>110</v>
      </c>
      <c r="C168" s="132" t="str">
        <f>IFERROR(C169/C167,"-")</f>
        <v>-</v>
      </c>
      <c r="D168" s="93"/>
      <c r="E168" s="79"/>
      <c r="F168" s="78"/>
      <c r="H168" s="79"/>
      <c r="I168" s="78"/>
      <c r="J168" s="116"/>
      <c r="K168" s="79"/>
      <c r="L168" s="79"/>
    </row>
    <row r="169">
      <c r="A169" s="112" t="s">
        <v>95</v>
      </c>
      <c r="B169" s="113">
        <v>15000.0</v>
      </c>
      <c r="C169" s="78">
        <f>SUM(B173:AE173)</f>
        <v>155.76</v>
      </c>
      <c r="D169" s="93">
        <f>C169/B169</f>
        <v>0.010384</v>
      </c>
      <c r="E169" s="78">
        <f>B169-C169</f>
        <v>14844.24</v>
      </c>
      <c r="F169" s="78"/>
      <c r="G169" s="129"/>
      <c r="H169" s="78"/>
      <c r="I169" s="78"/>
      <c r="J169" s="91">
        <f>C169/30</f>
        <v>5.192</v>
      </c>
      <c r="K169" s="79"/>
      <c r="L169" s="79"/>
    </row>
    <row r="170">
      <c r="A170" s="119" t="s">
        <v>114</v>
      </c>
      <c r="B170" s="128">
        <v>44440.0</v>
      </c>
      <c r="C170" s="128">
        <v>44441.0</v>
      </c>
      <c r="D170" s="128">
        <v>44442.0</v>
      </c>
      <c r="E170" s="128">
        <v>44443.0</v>
      </c>
      <c r="F170" s="128">
        <v>44444.0</v>
      </c>
      <c r="G170" s="128">
        <v>44445.0</v>
      </c>
      <c r="H170" s="128">
        <v>44446.0</v>
      </c>
      <c r="I170" s="128">
        <v>44447.0</v>
      </c>
      <c r="J170" s="128">
        <v>44448.0</v>
      </c>
      <c r="K170" s="128">
        <v>44449.0</v>
      </c>
      <c r="L170" s="128">
        <v>44450.0</v>
      </c>
      <c r="M170" s="128">
        <v>44451.0</v>
      </c>
      <c r="N170" s="128">
        <v>44452.0</v>
      </c>
      <c r="O170" s="128">
        <v>44453.0</v>
      </c>
      <c r="P170" s="128">
        <v>44454.0</v>
      </c>
      <c r="Q170" s="128">
        <v>44455.0</v>
      </c>
      <c r="R170" s="128">
        <v>44456.0</v>
      </c>
      <c r="S170" s="128">
        <v>44457.0</v>
      </c>
      <c r="T170" s="128">
        <v>44458.0</v>
      </c>
      <c r="U170" s="128">
        <v>44459.0</v>
      </c>
      <c r="V170" s="128">
        <v>44460.0</v>
      </c>
      <c r="W170" s="128">
        <v>44461.0</v>
      </c>
      <c r="X170" s="128">
        <v>44462.0</v>
      </c>
      <c r="Y170" s="128">
        <v>44463.0</v>
      </c>
      <c r="Z170" s="128">
        <v>44464.0</v>
      </c>
      <c r="AA170" s="128">
        <v>44465.0</v>
      </c>
      <c r="AB170" s="128">
        <v>44466.0</v>
      </c>
      <c r="AC170" s="128">
        <v>44467.0</v>
      </c>
      <c r="AD170" s="128">
        <v>44468.0</v>
      </c>
      <c r="AE170" s="128">
        <v>44469.0</v>
      </c>
      <c r="AF170" s="128"/>
    </row>
    <row r="171">
      <c r="A171" s="121" t="s">
        <v>93</v>
      </c>
      <c r="B171" s="122">
        <v>0.0</v>
      </c>
      <c r="C171" s="122">
        <v>0.0</v>
      </c>
      <c r="D171" s="122">
        <v>0.0</v>
      </c>
      <c r="E171" s="122">
        <v>0.0</v>
      </c>
      <c r="F171" s="122">
        <v>0.0</v>
      </c>
      <c r="G171" s="122">
        <v>0.0</v>
      </c>
      <c r="H171" s="122">
        <v>0.0</v>
      </c>
      <c r="I171" s="122">
        <v>0.0</v>
      </c>
      <c r="J171" s="122">
        <v>0.0</v>
      </c>
      <c r="K171" s="122">
        <v>0.0</v>
      </c>
      <c r="L171" s="122">
        <v>0.0</v>
      </c>
      <c r="M171" s="122">
        <v>0.0</v>
      </c>
      <c r="N171" s="122">
        <v>0.0</v>
      </c>
      <c r="O171" s="122">
        <v>0.0</v>
      </c>
      <c r="P171" s="122">
        <v>0.0</v>
      </c>
      <c r="Q171" s="122">
        <v>0.0</v>
      </c>
      <c r="R171" s="122">
        <v>0.0</v>
      </c>
      <c r="S171" s="122">
        <v>0.0</v>
      </c>
      <c r="T171" s="122">
        <v>0.0</v>
      </c>
      <c r="U171" s="122">
        <v>0.0</v>
      </c>
      <c r="V171" s="122">
        <v>0.0</v>
      </c>
      <c r="W171" s="122">
        <v>0.0</v>
      </c>
      <c r="X171" s="122">
        <v>0.0</v>
      </c>
      <c r="Y171" s="122">
        <v>0.0</v>
      </c>
      <c r="Z171" s="122">
        <v>0.0</v>
      </c>
      <c r="AA171" s="122">
        <v>0.0</v>
      </c>
      <c r="AB171" s="122">
        <v>0.0</v>
      </c>
      <c r="AC171" s="122">
        <v>0.0</v>
      </c>
      <c r="AD171" s="122">
        <v>0.0</v>
      </c>
      <c r="AE171" s="122">
        <v>0.0</v>
      </c>
      <c r="AF171" s="123"/>
    </row>
    <row r="172">
      <c r="A172" s="121" t="s">
        <v>94</v>
      </c>
      <c r="B172" s="123" t="str">
        <f t="shared" ref="B172:AE172" si="28">IFERROR(B173/B171,"-")</f>
        <v>-</v>
      </c>
      <c r="C172" s="123" t="str">
        <f t="shared" si="28"/>
        <v>-</v>
      </c>
      <c r="D172" s="123" t="str">
        <f t="shared" si="28"/>
        <v>-</v>
      </c>
      <c r="E172" s="123" t="str">
        <f t="shared" si="28"/>
        <v>-</v>
      </c>
      <c r="F172" s="123" t="str">
        <f t="shared" si="28"/>
        <v>-</v>
      </c>
      <c r="G172" s="123" t="str">
        <f t="shared" si="28"/>
        <v>-</v>
      </c>
      <c r="H172" s="123" t="str">
        <f t="shared" si="28"/>
        <v>-</v>
      </c>
      <c r="I172" s="123" t="str">
        <f t="shared" si="28"/>
        <v>-</v>
      </c>
      <c r="J172" s="123" t="str">
        <f t="shared" si="28"/>
        <v>-</v>
      </c>
      <c r="K172" s="123" t="str">
        <f t="shared" si="28"/>
        <v>-</v>
      </c>
      <c r="L172" s="123" t="str">
        <f t="shared" si="28"/>
        <v>-</v>
      </c>
      <c r="M172" s="123" t="str">
        <f t="shared" si="28"/>
        <v>-</v>
      </c>
      <c r="N172" s="123" t="str">
        <f t="shared" si="28"/>
        <v>-</v>
      </c>
      <c r="O172" s="123" t="str">
        <f t="shared" si="28"/>
        <v>-</v>
      </c>
      <c r="P172" s="123" t="str">
        <f t="shared" si="28"/>
        <v>-</v>
      </c>
      <c r="Q172" s="123" t="str">
        <f t="shared" si="28"/>
        <v>-</v>
      </c>
      <c r="R172" s="123" t="str">
        <f t="shared" si="28"/>
        <v>-</v>
      </c>
      <c r="S172" s="123" t="str">
        <f t="shared" si="28"/>
        <v>-</v>
      </c>
      <c r="T172" s="123" t="str">
        <f t="shared" si="28"/>
        <v>-</v>
      </c>
      <c r="U172" s="123" t="str">
        <f t="shared" si="28"/>
        <v>-</v>
      </c>
      <c r="V172" s="123" t="str">
        <f t="shared" si="28"/>
        <v>-</v>
      </c>
      <c r="W172" s="123" t="str">
        <f t="shared" si="28"/>
        <v>-</v>
      </c>
      <c r="X172" s="123" t="str">
        <f t="shared" si="28"/>
        <v>-</v>
      </c>
      <c r="Y172" s="123" t="str">
        <f t="shared" si="28"/>
        <v>-</v>
      </c>
      <c r="Z172" s="123" t="str">
        <f t="shared" si="28"/>
        <v>-</v>
      </c>
      <c r="AA172" s="123" t="str">
        <f t="shared" si="28"/>
        <v>-</v>
      </c>
      <c r="AB172" s="123" t="str">
        <f t="shared" si="28"/>
        <v>-</v>
      </c>
      <c r="AC172" s="123" t="str">
        <f t="shared" si="28"/>
        <v>-</v>
      </c>
      <c r="AD172" s="123" t="str">
        <f t="shared" si="28"/>
        <v>-</v>
      </c>
      <c r="AE172" s="123" t="str">
        <f t="shared" si="28"/>
        <v>-</v>
      </c>
      <c r="AF172" s="123"/>
    </row>
    <row r="173">
      <c r="A173" s="121" t="s">
        <v>99</v>
      </c>
      <c r="B173" s="122">
        <v>7.78</v>
      </c>
      <c r="C173" s="122">
        <v>4.16</v>
      </c>
      <c r="D173" s="122">
        <v>10.78</v>
      </c>
      <c r="E173" s="122">
        <v>10.27</v>
      </c>
      <c r="F173" s="122">
        <v>10.93</v>
      </c>
      <c r="G173" s="122">
        <v>12.38</v>
      </c>
      <c r="H173" s="122">
        <v>1.23</v>
      </c>
      <c r="I173" s="122">
        <v>0.0</v>
      </c>
      <c r="J173" s="122">
        <v>0.0</v>
      </c>
      <c r="K173" s="122">
        <v>6.63</v>
      </c>
      <c r="L173" s="122">
        <v>4.32</v>
      </c>
      <c r="M173" s="122">
        <v>5.03</v>
      </c>
      <c r="N173" s="122">
        <v>0.47</v>
      </c>
      <c r="O173" s="122">
        <v>3.85</v>
      </c>
      <c r="P173" s="122">
        <v>0.0</v>
      </c>
      <c r="Q173" s="122">
        <v>2.61</v>
      </c>
      <c r="R173" s="122">
        <v>8.97</v>
      </c>
      <c r="S173" s="122">
        <v>4.2</v>
      </c>
      <c r="T173" s="122">
        <v>10.08</v>
      </c>
      <c r="U173" s="122">
        <v>7.25</v>
      </c>
      <c r="V173" s="122">
        <v>3.1</v>
      </c>
      <c r="W173" s="122">
        <v>2.22</v>
      </c>
      <c r="X173" s="122">
        <v>6.93</v>
      </c>
      <c r="Y173" s="122">
        <v>9.11</v>
      </c>
      <c r="Z173" s="122">
        <v>12.26</v>
      </c>
      <c r="AA173" s="122">
        <v>3.99</v>
      </c>
      <c r="AB173" s="122">
        <v>2.67</v>
      </c>
      <c r="AC173" s="122">
        <v>2.19</v>
      </c>
      <c r="AD173" s="122">
        <v>0.93</v>
      </c>
      <c r="AE173" s="122">
        <v>1.42</v>
      </c>
      <c r="AF173" s="123"/>
    </row>
  </sheetData>
  <conditionalFormatting sqref="G4 G10 G28 G37 G48 G54 G72 G81 G92 G98 G116 G125">
    <cfRule type="cellIs" dxfId="1" priority="1" operator="lessThanOrEqual">
      <formula>"100%"</formula>
    </cfRule>
  </conditionalFormatting>
  <conditionalFormatting sqref="G17 G61 G105 G149">
    <cfRule type="cellIs" dxfId="0" priority="2" operator="lessThan">
      <formula>"100%"</formula>
    </cfRule>
  </conditionalFormatting>
  <conditionalFormatting sqref="G19 G63 G107 G151">
    <cfRule type="cellIs" dxfId="1" priority="3" operator="lessThan">
      <formula>"100%"</formula>
    </cfRule>
  </conditionalFormatting>
  <conditionalFormatting sqref="G4 G10 G28 G37 G48 G54 G72 G81 G92 G98 G116 G125">
    <cfRule type="cellIs" dxfId="0" priority="4" operator="greaterThan">
      <formula>"100%"</formula>
    </cfRule>
  </conditionalFormatting>
  <conditionalFormatting sqref="H19 H63 H107 H151">
    <cfRule type="cellIs" dxfId="1" priority="5" operator="lessThan">
      <formula>0</formula>
    </cfRule>
  </conditionalFormatting>
  <conditionalFormatting sqref="H4 H10 H19 H28 H48 H54 H63 H72 H92 H98 H107 H116">
    <cfRule type="cellIs" dxfId="0" priority="6" operator="greaterThan">
      <formula>0</formula>
    </cfRule>
  </conditionalFormatting>
  <conditionalFormatting sqref="H2 H8 H26 H46 H52 H70 H90 H96 H114">
    <cfRule type="cellIs" dxfId="1" priority="7" operator="greaterThanOrEqual">
      <formula>0</formula>
    </cfRule>
  </conditionalFormatting>
  <conditionalFormatting sqref="H4 H10 H19 H28 H48 H54 H63 H72 H92 H98 H107 H116">
    <cfRule type="cellIs" dxfId="1" priority="8" operator="lessThanOrEqual">
      <formula>0</formula>
    </cfRule>
  </conditionalFormatting>
  <conditionalFormatting sqref="H2 H8 H26 H46 H52 H70 H90 H96 H114">
    <cfRule type="cellIs" dxfId="0" priority="9" operator="lessThan">
      <formula>0</formula>
    </cfRule>
  </conditionalFormatting>
  <conditionalFormatting sqref="G2 G8 G26 G46 G52 G70 G90 G96 G114">
    <cfRule type="cellIs" dxfId="1" priority="10" operator="greaterThanOrEqual">
      <formula>"100%"</formula>
    </cfRule>
  </conditionalFormatting>
  <conditionalFormatting sqref="C135">
    <cfRule type="cellIs" dxfId="0" priority="11" operator="greaterThan">
      <formula>B135</formula>
    </cfRule>
  </conditionalFormatting>
  <conditionalFormatting sqref="G3 G9 G27 G47 G53 G71 G91 G97 G115">
    <cfRule type="cellIs" dxfId="1" priority="12" operator="lessThanOrEqual">
      <formula>"100%"</formula>
    </cfRule>
  </conditionalFormatting>
  <conditionalFormatting sqref="G3 G9 G27 G47 G53 G71 G91 G97 G115">
    <cfRule type="cellIs" dxfId="0" priority="13" operator="greaterThan">
      <formula>"100%"</formula>
    </cfRule>
  </conditionalFormatting>
  <conditionalFormatting sqref="G2 G8 G26 G46 G52 G70 G90 G96 G114">
    <cfRule type="cellIs" dxfId="0" priority="14" operator="lessThan">
      <formula>"100%"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29"/>
    <col customWidth="1" min="2" max="3" width="12.14"/>
    <col customWidth="1" min="4" max="4" width="13.29"/>
    <col customWidth="1" min="5" max="7" width="12.14"/>
    <col customWidth="1" min="8" max="8" width="15.71"/>
    <col customWidth="1" min="9" max="32" width="12.14"/>
  </cols>
  <sheetData>
    <row r="1">
      <c r="A1" s="100" t="s">
        <v>92</v>
      </c>
      <c r="B1" s="101" t="s">
        <v>1</v>
      </c>
      <c r="C1" s="102" t="s">
        <v>2</v>
      </c>
      <c r="D1" s="102" t="str">
        <f>CONCATENATE("Выполнено ",INT(M3/M2*100),"%")</f>
        <v>Выполнено 22%</v>
      </c>
      <c r="E1" s="102" t="s">
        <v>4</v>
      </c>
      <c r="F1" s="103" t="s">
        <v>5</v>
      </c>
      <c r="G1" s="103" t="s">
        <v>6</v>
      </c>
      <c r="H1" s="104" t="s">
        <v>7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 t="shared" ref="B2:C2" si="1">B8+B26</f>
        <v>294</v>
      </c>
      <c r="C2" s="9">
        <f t="shared" si="1"/>
        <v>65</v>
      </c>
      <c r="D2" s="10">
        <f>C2/B2</f>
        <v>0.2210884354</v>
      </c>
      <c r="E2" s="9">
        <f>B2-C2</f>
        <v>229</v>
      </c>
      <c r="F2" s="9">
        <f>C2/M3*M2</f>
        <v>287.8571429</v>
      </c>
      <c r="G2" s="10">
        <f t="shared" ref="G2:G4" si="2">F2/B2</f>
        <v>0.9791059281</v>
      </c>
      <c r="H2" s="9">
        <f>F2-B2</f>
        <v>-6.142857143</v>
      </c>
      <c r="I2" s="106">
        <f>E2/(M2-M3)</f>
        <v>9.541666667</v>
      </c>
      <c r="J2" s="46">
        <f>C2/M3</f>
        <v>9.285714286</v>
      </c>
      <c r="K2" s="107"/>
      <c r="L2" s="136"/>
      <c r="M2" s="91" t="str">
        <f>LEFT(N2, 2)</f>
        <v>31</v>
      </c>
      <c r="N2" s="108">
        <f>DATE(YEAR(TODAY()),MONTH(TODAY())+1,1)-1</f>
        <v>44561</v>
      </c>
    </row>
    <row r="3">
      <c r="A3" s="105" t="s">
        <v>94</v>
      </c>
      <c r="B3" s="8">
        <f>B4/B2</f>
        <v>857.3016327</v>
      </c>
      <c r="C3" s="130">
        <f>IFERROR(C4/C2,"-")</f>
        <v>620.808</v>
      </c>
      <c r="D3" s="10"/>
      <c r="E3" s="109"/>
      <c r="F3" s="9">
        <f>F4/F2</f>
        <v>620.808</v>
      </c>
      <c r="G3" s="10">
        <f t="shared" si="2"/>
        <v>0.7241418613</v>
      </c>
      <c r="H3" s="109"/>
      <c r="I3" s="109"/>
      <c r="J3" s="107"/>
      <c r="K3" s="107"/>
      <c r="M3" s="91">
        <f>LEFT(N3, 2)-1</f>
        <v>7</v>
      </c>
      <c r="N3" s="108">
        <f>TODAY()</f>
        <v>44538</v>
      </c>
    </row>
    <row r="4">
      <c r="A4" s="105" t="s">
        <v>95</v>
      </c>
      <c r="B4" s="9">
        <f t="shared" ref="B4:C4" si="3">B10+B28</f>
        <v>252046.68</v>
      </c>
      <c r="C4" s="9">
        <f t="shared" si="3"/>
        <v>40352.52</v>
      </c>
      <c r="D4" s="10">
        <f>C4/B4</f>
        <v>0.1600993911</v>
      </c>
      <c r="E4" s="9">
        <f>B4-C4</f>
        <v>211694.16</v>
      </c>
      <c r="F4" s="9">
        <f>C4/M3*M2</f>
        <v>178704.0171</v>
      </c>
      <c r="G4" s="10">
        <f t="shared" si="2"/>
        <v>0.7090115892</v>
      </c>
      <c r="H4" s="9">
        <f>F4-B4</f>
        <v>-73342.66286</v>
      </c>
      <c r="I4" s="19">
        <f>E4/(M2-M3)</f>
        <v>8820.59</v>
      </c>
      <c r="J4" s="19">
        <f>C4/M3</f>
        <v>5764.645714</v>
      </c>
      <c r="K4" s="107"/>
    </row>
    <row r="5">
      <c r="L5" s="137"/>
    </row>
    <row r="6">
      <c r="A6" s="110" t="s">
        <v>96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109</v>
      </c>
      <c r="B7" s="27" t="s">
        <v>1</v>
      </c>
      <c r="C7" s="28" t="s">
        <v>2</v>
      </c>
      <c r="D7" s="29" t="s">
        <v>3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189.0</v>
      </c>
      <c r="C8" s="78">
        <f>SUM(B12:AF12)+SUM(B21:AF21)</f>
        <v>38</v>
      </c>
      <c r="D8" s="93">
        <f>C8/B8</f>
        <v>0.2010582011</v>
      </c>
      <c r="E8" s="91">
        <f>B8-C8</f>
        <v>151</v>
      </c>
      <c r="F8" s="78">
        <f>C8/M3*M2</f>
        <v>168.2857143</v>
      </c>
      <c r="G8" s="93">
        <f t="shared" ref="G8:G10" si="4">F8/B8</f>
        <v>0.8904006047</v>
      </c>
      <c r="H8" s="78">
        <f>F8-B8</f>
        <v>-20.71428571</v>
      </c>
      <c r="I8" s="114">
        <f>E8/(M2-M3)</f>
        <v>6.291666667</v>
      </c>
      <c r="J8" s="115">
        <f>C8/M3</f>
        <v>5.428571429</v>
      </c>
      <c r="K8" s="116"/>
      <c r="L8" s="13"/>
    </row>
    <row r="9">
      <c r="A9" s="112" t="s">
        <v>94</v>
      </c>
      <c r="B9" s="78">
        <f>B10/B8</f>
        <v>886.027037</v>
      </c>
      <c r="C9" s="132">
        <f>IFERROR(C10/C8,"-")</f>
        <v>819.4260526</v>
      </c>
      <c r="D9" s="93"/>
      <c r="E9" s="79"/>
      <c r="F9" s="78">
        <f>F10/F8</f>
        <v>819.4260526</v>
      </c>
      <c r="G9" s="93">
        <f t="shared" si="4"/>
        <v>0.9248318825</v>
      </c>
      <c r="H9" s="116"/>
      <c r="I9" s="117"/>
      <c r="J9" s="116"/>
      <c r="K9" s="116"/>
      <c r="L9" s="13"/>
    </row>
    <row r="10">
      <c r="A10" s="112" t="s">
        <v>95</v>
      </c>
      <c r="B10" s="113">
        <v>167459.11</v>
      </c>
      <c r="C10" s="78">
        <f>SUM(B14:AF14)+SUM(B23:AF23)</f>
        <v>31138.19</v>
      </c>
      <c r="D10" s="93">
        <f>C10/B10</f>
        <v>0.1859450346</v>
      </c>
      <c r="E10" s="78">
        <f>B10-C10</f>
        <v>136320.92</v>
      </c>
      <c r="F10" s="78">
        <f>C10/M3*M2</f>
        <v>137897.6986</v>
      </c>
      <c r="G10" s="93">
        <f t="shared" si="4"/>
        <v>0.8234708674</v>
      </c>
      <c r="H10" s="78">
        <f>F10-B10</f>
        <v>-29561.41143</v>
      </c>
      <c r="I10" s="78">
        <f>E10/(M2-M3)</f>
        <v>5680.038333</v>
      </c>
      <c r="J10" s="91">
        <f>C10/M3</f>
        <v>4448.312857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22">
        <v>6.0</v>
      </c>
      <c r="C12" s="122">
        <v>4.0</v>
      </c>
      <c r="D12" s="122">
        <v>6.0</v>
      </c>
      <c r="E12" s="122">
        <v>8.0</v>
      </c>
      <c r="F12" s="122">
        <v>3.0</v>
      </c>
      <c r="G12" s="122">
        <v>9.0</v>
      </c>
      <c r="H12" s="122">
        <v>2.0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>
      <c r="A13" s="121" t="s">
        <v>94</v>
      </c>
      <c r="B13" s="123">
        <f t="shared" ref="B13:AF13" si="5">IFERROR(B14/B12,"-")</f>
        <v>840.0716667</v>
      </c>
      <c r="C13" s="123">
        <f t="shared" si="5"/>
        <v>782.255</v>
      </c>
      <c r="D13" s="123">
        <f t="shared" si="5"/>
        <v>820.03</v>
      </c>
      <c r="E13" s="123">
        <f t="shared" si="5"/>
        <v>347.0075</v>
      </c>
      <c r="F13" s="123">
        <f t="shared" si="5"/>
        <v>1475.903333</v>
      </c>
      <c r="G13" s="123">
        <f t="shared" si="5"/>
        <v>676.8211111</v>
      </c>
      <c r="H13" s="123">
        <f t="shared" si="5"/>
        <v>2376.7</v>
      </c>
      <c r="I13" s="123" t="str">
        <f t="shared" si="5"/>
        <v>-</v>
      </c>
      <c r="J13" s="123" t="str">
        <f t="shared" si="5"/>
        <v>-</v>
      </c>
      <c r="K13" s="123" t="str">
        <f t="shared" si="5"/>
        <v>-</v>
      </c>
      <c r="L13" s="123" t="str">
        <f t="shared" si="5"/>
        <v>-</v>
      </c>
      <c r="M13" s="123" t="str">
        <f t="shared" si="5"/>
        <v>-</v>
      </c>
      <c r="N13" s="123" t="str">
        <f t="shared" si="5"/>
        <v>-</v>
      </c>
      <c r="O13" s="123" t="str">
        <f t="shared" si="5"/>
        <v>-</v>
      </c>
      <c r="P13" s="123" t="str">
        <f t="shared" si="5"/>
        <v>-</v>
      </c>
      <c r="Q13" s="123" t="str">
        <f t="shared" si="5"/>
        <v>-</v>
      </c>
      <c r="R13" s="123" t="str">
        <f t="shared" si="5"/>
        <v>-</v>
      </c>
      <c r="S13" s="123" t="str">
        <f t="shared" si="5"/>
        <v>-</v>
      </c>
      <c r="T13" s="123" t="str">
        <f t="shared" si="5"/>
        <v>-</v>
      </c>
      <c r="U13" s="123" t="str">
        <f t="shared" si="5"/>
        <v>-</v>
      </c>
      <c r="V13" s="123" t="str">
        <f t="shared" si="5"/>
        <v>-</v>
      </c>
      <c r="W13" s="123" t="str">
        <f t="shared" si="5"/>
        <v>-</v>
      </c>
      <c r="X13" s="123" t="str">
        <f t="shared" si="5"/>
        <v>-</v>
      </c>
      <c r="Y13" s="123" t="str">
        <f t="shared" si="5"/>
        <v>-</v>
      </c>
      <c r="Z13" s="123" t="str">
        <f t="shared" si="5"/>
        <v>-</v>
      </c>
      <c r="AA13" s="123" t="str">
        <f t="shared" si="5"/>
        <v>-</v>
      </c>
      <c r="AB13" s="123" t="str">
        <f t="shared" si="5"/>
        <v>-</v>
      </c>
      <c r="AC13" s="123" t="str">
        <f t="shared" si="5"/>
        <v>-</v>
      </c>
      <c r="AD13" s="123" t="str">
        <f t="shared" si="5"/>
        <v>-</v>
      </c>
      <c r="AE13" s="123" t="str">
        <f t="shared" si="5"/>
        <v>-</v>
      </c>
      <c r="AF13" s="123" t="str">
        <f t="shared" si="5"/>
        <v>-</v>
      </c>
    </row>
    <row r="14">
      <c r="A14" s="121" t="s">
        <v>99</v>
      </c>
      <c r="B14" s="122">
        <v>5040.43</v>
      </c>
      <c r="C14" s="122">
        <v>3129.02</v>
      </c>
      <c r="D14" s="122">
        <v>4920.18</v>
      </c>
      <c r="E14" s="122">
        <v>2776.06</v>
      </c>
      <c r="F14" s="122">
        <v>4427.71</v>
      </c>
      <c r="G14" s="122">
        <v>6091.39</v>
      </c>
      <c r="H14" s="122">
        <v>4753.4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133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106</v>
      </c>
      <c r="B16" s="27" t="s">
        <v>1</v>
      </c>
      <c r="C16" s="28" t="s">
        <v>2</v>
      </c>
      <c r="D16" s="29" t="s">
        <v>3</v>
      </c>
      <c r="E16" s="28" t="s">
        <v>4</v>
      </c>
      <c r="F16" s="29" t="s">
        <v>5</v>
      </c>
      <c r="G16" s="29" t="s">
        <v>6</v>
      </c>
      <c r="H16" s="28" t="s">
        <v>7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 t="s">
        <v>110</v>
      </c>
      <c r="C17" s="78">
        <f>SUM(B21:AF21)</f>
        <v>0</v>
      </c>
      <c r="D17" s="93"/>
      <c r="E17" s="91"/>
      <c r="F17" s="78"/>
      <c r="G17" s="93"/>
      <c r="H17" s="78"/>
      <c r="I17" s="114"/>
      <c r="J17" s="115"/>
      <c r="K17" s="13"/>
      <c r="L17" s="13"/>
    </row>
    <row r="18">
      <c r="A18" s="112" t="s">
        <v>94</v>
      </c>
      <c r="B18" s="113" t="s">
        <v>110</v>
      </c>
      <c r="C18" s="132" t="str">
        <f>IFERROR(C19/C17,"-")</f>
        <v>-</v>
      </c>
      <c r="D18" s="93"/>
      <c r="E18" s="84"/>
      <c r="F18" s="132"/>
      <c r="H18" s="79"/>
      <c r="I18" s="78"/>
      <c r="J18" s="116"/>
      <c r="K18" s="13"/>
      <c r="L18" s="13"/>
    </row>
    <row r="19">
      <c r="A19" s="112" t="s">
        <v>95</v>
      </c>
      <c r="B19" s="113" t="s">
        <v>110</v>
      </c>
      <c r="C19" s="78">
        <f>SUM(B23:AF23)</f>
        <v>0</v>
      </c>
      <c r="D19" s="135"/>
      <c r="E19" s="78"/>
      <c r="F19" s="78"/>
      <c r="G19" s="136"/>
      <c r="H19" s="78"/>
      <c r="I19" s="114"/>
      <c r="J19" s="91"/>
      <c r="K19" s="87"/>
      <c r="L19" s="13"/>
    </row>
    <row r="20">
      <c r="A20" s="119" t="s">
        <v>108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>
        <v>0.0</v>
      </c>
      <c r="C21" s="122">
        <v>0.0</v>
      </c>
      <c r="D21" s="122">
        <v>0.0</v>
      </c>
      <c r="E21" s="122">
        <v>0.0</v>
      </c>
      <c r="F21" s="122">
        <v>0.0</v>
      </c>
      <c r="G21" s="122">
        <v>0.0</v>
      </c>
      <c r="H21" s="122">
        <v>0.0</v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>
      <c r="A22" s="121" t="s">
        <v>94</v>
      </c>
      <c r="B22" s="123" t="str">
        <f t="shared" ref="B22:AF22" si="6">IFERROR(B23/B21,"-")</f>
        <v>-</v>
      </c>
      <c r="C22" s="123" t="str">
        <f t="shared" si="6"/>
        <v>-</v>
      </c>
      <c r="D22" s="123" t="str">
        <f t="shared" si="6"/>
        <v>-</v>
      </c>
      <c r="E22" s="123" t="str">
        <f t="shared" si="6"/>
        <v>-</v>
      </c>
      <c r="F22" s="123" t="str">
        <f t="shared" si="6"/>
        <v>-</v>
      </c>
      <c r="G22" s="123" t="str">
        <f t="shared" si="6"/>
        <v>-</v>
      </c>
      <c r="H22" s="123" t="str">
        <f t="shared" si="6"/>
        <v>-</v>
      </c>
      <c r="I22" s="123" t="str">
        <f t="shared" si="6"/>
        <v>-</v>
      </c>
      <c r="J22" s="123" t="str">
        <f t="shared" si="6"/>
        <v>-</v>
      </c>
      <c r="K22" s="123" t="str">
        <f t="shared" si="6"/>
        <v>-</v>
      </c>
      <c r="L22" s="123" t="str">
        <f t="shared" si="6"/>
        <v>-</v>
      </c>
      <c r="M22" s="123" t="str">
        <f t="shared" si="6"/>
        <v>-</v>
      </c>
      <c r="N22" s="123" t="str">
        <f t="shared" si="6"/>
        <v>-</v>
      </c>
      <c r="O22" s="123" t="str">
        <f t="shared" si="6"/>
        <v>-</v>
      </c>
      <c r="P22" s="123" t="str">
        <f t="shared" si="6"/>
        <v>-</v>
      </c>
      <c r="Q22" s="123" t="str">
        <f t="shared" si="6"/>
        <v>-</v>
      </c>
      <c r="R22" s="123" t="str">
        <f t="shared" si="6"/>
        <v>-</v>
      </c>
      <c r="S22" s="123" t="str">
        <f t="shared" si="6"/>
        <v>-</v>
      </c>
      <c r="T22" s="123" t="str">
        <f t="shared" si="6"/>
        <v>-</v>
      </c>
      <c r="U22" s="123" t="str">
        <f t="shared" si="6"/>
        <v>-</v>
      </c>
      <c r="V22" s="123" t="str">
        <f t="shared" si="6"/>
        <v>-</v>
      </c>
      <c r="W22" s="123" t="str">
        <f t="shared" si="6"/>
        <v>-</v>
      </c>
      <c r="X22" s="123" t="str">
        <f t="shared" si="6"/>
        <v>-</v>
      </c>
      <c r="Y22" s="123" t="str">
        <f t="shared" si="6"/>
        <v>-</v>
      </c>
      <c r="Z22" s="123" t="str">
        <f t="shared" si="6"/>
        <v>-</v>
      </c>
      <c r="AA22" s="123" t="str">
        <f t="shared" si="6"/>
        <v>-</v>
      </c>
      <c r="AB22" s="123" t="str">
        <f t="shared" si="6"/>
        <v>-</v>
      </c>
      <c r="AC22" s="123" t="str">
        <f t="shared" si="6"/>
        <v>-</v>
      </c>
      <c r="AD22" s="123" t="str">
        <f t="shared" si="6"/>
        <v>-</v>
      </c>
      <c r="AE22" s="123" t="str">
        <f t="shared" si="6"/>
        <v>-</v>
      </c>
      <c r="AF22" s="123" t="str">
        <f t="shared" si="6"/>
        <v>-</v>
      </c>
    </row>
    <row r="23">
      <c r="A23" s="121" t="s">
        <v>99</v>
      </c>
      <c r="B23" s="122">
        <v>0.0</v>
      </c>
      <c r="C23" s="122">
        <v>0.0</v>
      </c>
      <c r="D23" s="122">
        <v>0.0</v>
      </c>
      <c r="E23" s="122">
        <v>0.0</v>
      </c>
      <c r="F23" s="122">
        <v>0.0</v>
      </c>
      <c r="G23" s="122">
        <v>0.0</v>
      </c>
      <c r="H23" s="122">
        <v>0.0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>
      <c r="A24" s="35"/>
      <c r="B24" s="53"/>
      <c r="C24" s="53"/>
      <c r="D24" s="53"/>
      <c r="E24" s="53"/>
      <c r="F24" s="55"/>
      <c r="G24" s="55"/>
      <c r="H24" s="54"/>
      <c r="I24" s="54"/>
      <c r="J24" s="54"/>
      <c r="K24" s="54"/>
      <c r="L24" s="54"/>
    </row>
    <row r="25">
      <c r="A25" s="26" t="s">
        <v>100</v>
      </c>
      <c r="B25" s="27" t="s">
        <v>1</v>
      </c>
      <c r="C25" s="28" t="s">
        <v>2</v>
      </c>
      <c r="D25" s="29" t="s">
        <v>3</v>
      </c>
      <c r="E25" s="28" t="s">
        <v>4</v>
      </c>
      <c r="F25" s="29" t="s">
        <v>5</v>
      </c>
      <c r="G25" s="29" t="s">
        <v>6</v>
      </c>
      <c r="H25" s="28" t="s">
        <v>7</v>
      </c>
      <c r="I25" s="28" t="s">
        <v>8</v>
      </c>
      <c r="J25" s="29" t="s">
        <v>10</v>
      </c>
      <c r="K25" s="16"/>
      <c r="L25" s="51"/>
    </row>
    <row r="26">
      <c r="A26" s="112" t="s">
        <v>93</v>
      </c>
      <c r="B26" s="113">
        <v>105.0</v>
      </c>
      <c r="C26" s="78">
        <f>SUM(B30:AF30)</f>
        <v>27</v>
      </c>
      <c r="D26" s="93">
        <f>C26/B26</f>
        <v>0.2571428571</v>
      </c>
      <c r="E26" s="91">
        <f>B26-C26</f>
        <v>78</v>
      </c>
      <c r="F26" s="78">
        <f>C26/M3*M2</f>
        <v>119.5714286</v>
      </c>
      <c r="G26" s="124">
        <f t="shared" ref="G26:G28" si="7">F26/B26</f>
        <v>1.13877551</v>
      </c>
      <c r="H26" s="78">
        <f>F26-B26</f>
        <v>14.57142857</v>
      </c>
      <c r="I26" s="114">
        <f>E26/(M2-M3)</f>
        <v>3.25</v>
      </c>
      <c r="J26" s="115">
        <f>C26/M3</f>
        <v>3.857142857</v>
      </c>
      <c r="K26" s="79"/>
      <c r="L26" s="79"/>
    </row>
    <row r="27">
      <c r="A27" s="112" t="s">
        <v>94</v>
      </c>
      <c r="B27" s="78">
        <f>B28/B26</f>
        <v>805.5959048</v>
      </c>
      <c r="C27" s="132">
        <f>IFERROR(C28/C26,"-")</f>
        <v>341.2714815</v>
      </c>
      <c r="D27" s="93"/>
      <c r="E27" s="79"/>
      <c r="F27" s="78">
        <f>F28/F26</f>
        <v>341.2714815</v>
      </c>
      <c r="G27" s="93">
        <f t="shared" si="7"/>
        <v>0.4236261375</v>
      </c>
      <c r="H27" s="79"/>
      <c r="I27" s="78"/>
      <c r="J27" s="116"/>
      <c r="K27" s="79"/>
      <c r="L27" s="79"/>
    </row>
    <row r="28">
      <c r="A28" s="112" t="s">
        <v>95</v>
      </c>
      <c r="B28" s="113">
        <v>84587.57</v>
      </c>
      <c r="C28" s="78">
        <f>SUM(B32:AF32)</f>
        <v>9214.33</v>
      </c>
      <c r="D28" s="93">
        <f>C28/B28</f>
        <v>0.1089324353</v>
      </c>
      <c r="E28" s="78">
        <f>B28-C28</f>
        <v>75373.24</v>
      </c>
      <c r="F28" s="78">
        <f>C28/M3*M2</f>
        <v>40806.31857</v>
      </c>
      <c r="G28" s="124">
        <f t="shared" si="7"/>
        <v>0.4824150708</v>
      </c>
      <c r="H28" s="78">
        <f>F28-B28</f>
        <v>-43781.25143</v>
      </c>
      <c r="I28" s="78">
        <f>E28/(M2-M3)</f>
        <v>3140.551667</v>
      </c>
      <c r="J28" s="91">
        <f>C28/M3</f>
        <v>1316.332857</v>
      </c>
      <c r="K28" s="79"/>
      <c r="L28" s="79"/>
    </row>
    <row r="29">
      <c r="A29" s="119" t="s">
        <v>101</v>
      </c>
      <c r="B29" s="120">
        <v>44531.0</v>
      </c>
      <c r="C29" s="120">
        <v>44532.0</v>
      </c>
      <c r="D29" s="120">
        <v>44533.0</v>
      </c>
      <c r="E29" s="120">
        <v>44534.0</v>
      </c>
      <c r="F29" s="120">
        <v>44535.0</v>
      </c>
      <c r="G29" s="120">
        <v>44536.0</v>
      </c>
      <c r="H29" s="120">
        <v>44537.0</v>
      </c>
      <c r="I29" s="120">
        <v>44538.0</v>
      </c>
      <c r="J29" s="120">
        <v>44539.0</v>
      </c>
      <c r="K29" s="120">
        <v>44540.0</v>
      </c>
      <c r="L29" s="120">
        <v>44541.0</v>
      </c>
      <c r="M29" s="120">
        <v>44542.0</v>
      </c>
      <c r="N29" s="120">
        <v>44543.0</v>
      </c>
      <c r="O29" s="120">
        <v>44544.0</v>
      </c>
      <c r="P29" s="120">
        <v>44545.0</v>
      </c>
      <c r="Q29" s="120">
        <v>44546.0</v>
      </c>
      <c r="R29" s="120">
        <v>44547.0</v>
      </c>
      <c r="S29" s="120">
        <v>44548.0</v>
      </c>
      <c r="T29" s="120">
        <v>44549.0</v>
      </c>
      <c r="U29" s="120">
        <v>44550.0</v>
      </c>
      <c r="V29" s="120">
        <v>44551.0</v>
      </c>
      <c r="W29" s="120">
        <v>44552.0</v>
      </c>
      <c r="X29" s="120">
        <v>44553.0</v>
      </c>
      <c r="Y29" s="120">
        <v>44554.0</v>
      </c>
      <c r="Z29" s="120">
        <v>44555.0</v>
      </c>
      <c r="AA29" s="120">
        <v>44556.0</v>
      </c>
      <c r="AB29" s="120">
        <v>44557.0</v>
      </c>
      <c r="AC29" s="120">
        <v>44558.0</v>
      </c>
      <c r="AD29" s="120">
        <v>44559.0</v>
      </c>
      <c r="AE29" s="120">
        <v>44560.0</v>
      </c>
      <c r="AF29" s="120">
        <v>44561.0</v>
      </c>
    </row>
    <row r="30">
      <c r="A30" s="121" t="s">
        <v>93</v>
      </c>
      <c r="B30" s="122">
        <v>4.0</v>
      </c>
      <c r="C30" s="122">
        <v>3.0</v>
      </c>
      <c r="D30" s="122">
        <v>4.0</v>
      </c>
      <c r="E30" s="122">
        <v>3.0</v>
      </c>
      <c r="F30" s="122">
        <v>3.0</v>
      </c>
      <c r="G30" s="122">
        <v>7.0</v>
      </c>
      <c r="H30" s="122">
        <v>3.0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</row>
    <row r="31">
      <c r="A31" s="121" t="s">
        <v>94</v>
      </c>
      <c r="B31" s="123">
        <f t="shared" ref="B31:AF31" si="8">IFERROR(B32/B30,"-")</f>
        <v>286.48</v>
      </c>
      <c r="C31" s="123">
        <f t="shared" si="8"/>
        <v>348.0633333</v>
      </c>
      <c r="D31" s="123">
        <f t="shared" si="8"/>
        <v>578.43</v>
      </c>
      <c r="E31" s="123">
        <f t="shared" si="8"/>
        <v>480.7466667</v>
      </c>
      <c r="F31" s="123">
        <f t="shared" si="8"/>
        <v>258.07</v>
      </c>
      <c r="G31" s="123">
        <f t="shared" si="8"/>
        <v>243.9157143</v>
      </c>
      <c r="H31" s="123">
        <f t="shared" si="8"/>
        <v>262.2133333</v>
      </c>
      <c r="I31" s="123" t="str">
        <f t="shared" si="8"/>
        <v>-</v>
      </c>
      <c r="J31" s="123" t="str">
        <f t="shared" si="8"/>
        <v>-</v>
      </c>
      <c r="K31" s="123" t="str">
        <f t="shared" si="8"/>
        <v>-</v>
      </c>
      <c r="L31" s="123" t="str">
        <f t="shared" si="8"/>
        <v>-</v>
      </c>
      <c r="M31" s="123" t="str">
        <f t="shared" si="8"/>
        <v>-</v>
      </c>
      <c r="N31" s="123" t="str">
        <f t="shared" si="8"/>
        <v>-</v>
      </c>
      <c r="O31" s="123" t="str">
        <f t="shared" si="8"/>
        <v>-</v>
      </c>
      <c r="P31" s="123" t="str">
        <f t="shared" si="8"/>
        <v>-</v>
      </c>
      <c r="Q31" s="123" t="str">
        <f t="shared" si="8"/>
        <v>-</v>
      </c>
      <c r="R31" s="123" t="str">
        <f t="shared" si="8"/>
        <v>-</v>
      </c>
      <c r="S31" s="123" t="str">
        <f t="shared" si="8"/>
        <v>-</v>
      </c>
      <c r="T31" s="123" t="str">
        <f t="shared" si="8"/>
        <v>-</v>
      </c>
      <c r="U31" s="123" t="str">
        <f t="shared" si="8"/>
        <v>-</v>
      </c>
      <c r="V31" s="123" t="str">
        <f t="shared" si="8"/>
        <v>-</v>
      </c>
      <c r="W31" s="123" t="str">
        <f t="shared" si="8"/>
        <v>-</v>
      </c>
      <c r="X31" s="123" t="str">
        <f t="shared" si="8"/>
        <v>-</v>
      </c>
      <c r="Y31" s="123" t="str">
        <f t="shared" si="8"/>
        <v>-</v>
      </c>
      <c r="Z31" s="123" t="str">
        <f t="shared" si="8"/>
        <v>-</v>
      </c>
      <c r="AA31" s="123" t="str">
        <f t="shared" si="8"/>
        <v>-</v>
      </c>
      <c r="AB31" s="123" t="str">
        <f t="shared" si="8"/>
        <v>-</v>
      </c>
      <c r="AC31" s="123" t="str">
        <f t="shared" si="8"/>
        <v>-</v>
      </c>
      <c r="AD31" s="123" t="str">
        <f t="shared" si="8"/>
        <v>-</v>
      </c>
      <c r="AE31" s="123" t="str">
        <f t="shared" si="8"/>
        <v>-</v>
      </c>
      <c r="AF31" s="123" t="str">
        <f t="shared" si="8"/>
        <v>-</v>
      </c>
    </row>
    <row r="32">
      <c r="A32" s="121" t="s">
        <v>99</v>
      </c>
      <c r="B32" s="122">
        <v>1145.92</v>
      </c>
      <c r="C32" s="122">
        <v>1044.19</v>
      </c>
      <c r="D32" s="122">
        <v>2313.72</v>
      </c>
      <c r="E32" s="122">
        <v>1442.24</v>
      </c>
      <c r="F32" s="122">
        <v>774.21</v>
      </c>
      <c r="G32" s="122">
        <v>1707.41</v>
      </c>
      <c r="H32" s="122">
        <v>786.64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3">
      <c r="A33" s="125"/>
      <c r="B33" s="9"/>
      <c r="C33" s="13"/>
      <c r="D33" s="13"/>
      <c r="E33" s="13"/>
      <c r="F33" s="126"/>
      <c r="G33" s="126"/>
      <c r="H33" s="16"/>
      <c r="I33" s="16"/>
      <c r="J33" s="126"/>
      <c r="K33" s="16"/>
    </row>
    <row r="34">
      <c r="A34" s="125"/>
      <c r="B34" s="9"/>
      <c r="C34" s="13"/>
      <c r="D34" s="13"/>
      <c r="E34" s="13"/>
      <c r="F34" s="126"/>
      <c r="G34" s="126"/>
      <c r="H34" s="16"/>
      <c r="I34" s="16"/>
      <c r="J34" s="126"/>
      <c r="K34" s="16"/>
    </row>
    <row r="35">
      <c r="A35" s="125"/>
      <c r="B35" s="9"/>
      <c r="C35" s="13"/>
      <c r="D35" s="13"/>
      <c r="E35" s="13"/>
      <c r="F35" s="126"/>
      <c r="G35" s="126"/>
      <c r="H35" s="16"/>
      <c r="I35" s="16"/>
      <c r="J35" s="126"/>
      <c r="K35" s="16"/>
    </row>
    <row r="36">
      <c r="A36" s="100" t="s">
        <v>102</v>
      </c>
      <c r="B36" s="101" t="s">
        <v>1</v>
      </c>
      <c r="C36" s="102" t="s">
        <v>2</v>
      </c>
      <c r="D36" s="127" t="s">
        <v>3</v>
      </c>
      <c r="E36" s="102" t="s">
        <v>4</v>
      </c>
      <c r="F36" s="103" t="s">
        <v>5</v>
      </c>
      <c r="G36" s="103" t="s">
        <v>6</v>
      </c>
      <c r="H36" s="104" t="s">
        <v>7</v>
      </c>
      <c r="I36" s="104" t="s">
        <v>8</v>
      </c>
      <c r="J36" s="103" t="s">
        <v>10</v>
      </c>
      <c r="K36" s="16"/>
    </row>
    <row r="37">
      <c r="A37" s="105" t="s">
        <v>93</v>
      </c>
      <c r="B37" s="9">
        <f t="shared" ref="B37:C37" si="9">B43+B61</f>
        <v>246</v>
      </c>
      <c r="C37" s="9">
        <f t="shared" si="9"/>
        <v>248</v>
      </c>
      <c r="D37" s="10">
        <f>C37/B37</f>
        <v>1.008130081</v>
      </c>
      <c r="E37" s="9">
        <f>B37-C37</f>
        <v>-2</v>
      </c>
      <c r="F37" s="9"/>
      <c r="G37" s="10"/>
      <c r="H37" s="9"/>
      <c r="I37" s="106"/>
      <c r="J37" s="46">
        <f>C37/30</f>
        <v>8.266666667</v>
      </c>
      <c r="K37" s="107"/>
      <c r="L37" s="136"/>
      <c r="M37" s="91"/>
      <c r="N37" s="108"/>
    </row>
    <row r="38">
      <c r="A38" s="105" t="s">
        <v>94</v>
      </c>
      <c r="B38" s="8">
        <f>B39/B37</f>
        <v>785.2642276</v>
      </c>
      <c r="C38" s="130">
        <f>IFERROR(C39/C37,"-")</f>
        <v>737.5505242</v>
      </c>
      <c r="D38" s="10"/>
      <c r="E38" s="109"/>
      <c r="F38" s="9"/>
      <c r="G38" s="10"/>
      <c r="H38" s="109"/>
      <c r="I38" s="109"/>
      <c r="J38" s="107"/>
      <c r="K38" s="107"/>
      <c r="M38" s="91"/>
      <c r="N38" s="108"/>
    </row>
    <row r="39">
      <c r="A39" s="105" t="s">
        <v>95</v>
      </c>
      <c r="B39" s="9">
        <f t="shared" ref="B39:C39" si="10">B45+B63</f>
        <v>193175</v>
      </c>
      <c r="C39" s="9">
        <f t="shared" si="10"/>
        <v>182912.53</v>
      </c>
      <c r="D39" s="10">
        <f>C39/B39</f>
        <v>0.9468747509</v>
      </c>
      <c r="E39" s="9">
        <f>B39-C39</f>
        <v>10262.47</v>
      </c>
      <c r="F39" s="9"/>
      <c r="G39" s="10"/>
      <c r="H39" s="9"/>
      <c r="I39" s="19"/>
      <c r="J39" s="19">
        <f>C39/30</f>
        <v>6097.084333</v>
      </c>
      <c r="K39" s="107"/>
    </row>
    <row r="40">
      <c r="L40" s="137"/>
    </row>
    <row r="41">
      <c r="A41" s="110" t="s">
        <v>96</v>
      </c>
      <c r="B41" s="22"/>
      <c r="C41" s="23"/>
      <c r="D41" s="23"/>
      <c r="E41" s="23"/>
      <c r="F41" s="23"/>
      <c r="G41" s="23"/>
      <c r="H41" s="23"/>
      <c r="I41" s="23"/>
      <c r="J41" s="23"/>
      <c r="K41" s="24"/>
      <c r="L41" s="24"/>
    </row>
    <row r="42">
      <c r="A42" s="26" t="s">
        <v>109</v>
      </c>
      <c r="B42" s="27" t="s">
        <v>1</v>
      </c>
      <c r="C42" s="28" t="s">
        <v>2</v>
      </c>
      <c r="D42" s="29" t="s">
        <v>3</v>
      </c>
      <c r="E42" s="28" t="s">
        <v>4</v>
      </c>
      <c r="F42" s="29" t="s">
        <v>5</v>
      </c>
      <c r="G42" s="29" t="s">
        <v>6</v>
      </c>
      <c r="H42" s="28" t="s">
        <v>7</v>
      </c>
      <c r="I42" s="28" t="s">
        <v>8</v>
      </c>
      <c r="J42" s="29" t="s">
        <v>10</v>
      </c>
      <c r="K42" s="16"/>
      <c r="L42" s="111"/>
    </row>
    <row r="43">
      <c r="A43" s="112" t="s">
        <v>93</v>
      </c>
      <c r="B43" s="113">
        <v>161.0</v>
      </c>
      <c r="C43" s="78">
        <f>SUM(B47:AF47)+SUM(B56:AF56)</f>
        <v>155</v>
      </c>
      <c r="D43" s="93">
        <f>C43/B43</f>
        <v>0.9627329193</v>
      </c>
      <c r="E43" s="91">
        <f>B43-C43</f>
        <v>6</v>
      </c>
      <c r="F43" s="78"/>
      <c r="G43" s="93"/>
      <c r="H43" s="78"/>
      <c r="I43" s="114"/>
      <c r="J43" s="115">
        <f>C43/30</f>
        <v>5.166666667</v>
      </c>
      <c r="K43" s="116"/>
      <c r="L43" s="13"/>
    </row>
    <row r="44">
      <c r="A44" s="112" t="s">
        <v>94</v>
      </c>
      <c r="B44" s="78">
        <f>B45/B43</f>
        <v>825</v>
      </c>
      <c r="C44" s="132">
        <f>IFERROR(C45/C43,"-")</f>
        <v>865.7694194</v>
      </c>
      <c r="D44" s="93"/>
      <c r="E44" s="79"/>
      <c r="F44" s="78"/>
      <c r="G44" s="93"/>
      <c r="H44" s="116"/>
      <c r="I44" s="117"/>
      <c r="J44" s="116"/>
      <c r="K44" s="116"/>
      <c r="L44" s="13"/>
    </row>
    <row r="45">
      <c r="A45" s="112" t="s">
        <v>95</v>
      </c>
      <c r="B45" s="113">
        <v>132825.0</v>
      </c>
      <c r="C45" s="78">
        <f>SUM(B49:AF49)+SUM(B58:AF58)</f>
        <v>134194.26</v>
      </c>
      <c r="D45" s="93">
        <f>C45/B45</f>
        <v>1.010308752</v>
      </c>
      <c r="E45" s="78">
        <f>B45-C45</f>
        <v>-1369.26</v>
      </c>
      <c r="F45" s="78"/>
      <c r="G45" s="93"/>
      <c r="H45" s="78"/>
      <c r="I45" s="78"/>
      <c r="J45" s="91">
        <f>C45/30</f>
        <v>4473.142</v>
      </c>
      <c r="K45" s="118"/>
      <c r="L45" s="13"/>
    </row>
    <row r="46">
      <c r="A46" s="119" t="s">
        <v>98</v>
      </c>
      <c r="B46" s="120">
        <v>44501.0</v>
      </c>
      <c r="C46" s="120">
        <v>44502.0</v>
      </c>
      <c r="D46" s="120">
        <v>44503.0</v>
      </c>
      <c r="E46" s="120">
        <v>44504.0</v>
      </c>
      <c r="F46" s="120">
        <v>44505.0</v>
      </c>
      <c r="G46" s="120">
        <v>44506.0</v>
      </c>
      <c r="H46" s="120">
        <v>44507.0</v>
      </c>
      <c r="I46" s="120">
        <v>44508.0</v>
      </c>
      <c r="J46" s="120">
        <v>44509.0</v>
      </c>
      <c r="K46" s="120">
        <v>44510.0</v>
      </c>
      <c r="L46" s="120">
        <v>44511.0</v>
      </c>
      <c r="M46" s="120">
        <v>44512.0</v>
      </c>
      <c r="N46" s="120">
        <v>44513.0</v>
      </c>
      <c r="O46" s="120">
        <v>44514.0</v>
      </c>
      <c r="P46" s="120">
        <v>44515.0</v>
      </c>
      <c r="Q46" s="120">
        <v>44516.0</v>
      </c>
      <c r="R46" s="120">
        <v>44517.0</v>
      </c>
      <c r="S46" s="120">
        <v>44518.0</v>
      </c>
      <c r="T46" s="120">
        <v>44519.0</v>
      </c>
      <c r="U46" s="120">
        <v>44520.0</v>
      </c>
      <c r="V46" s="120">
        <v>44521.0</v>
      </c>
      <c r="W46" s="120">
        <v>44522.0</v>
      </c>
      <c r="X46" s="120">
        <v>44523.0</v>
      </c>
      <c r="Y46" s="120">
        <v>44524.0</v>
      </c>
      <c r="Z46" s="120">
        <v>44525.0</v>
      </c>
      <c r="AA46" s="120">
        <v>44526.0</v>
      </c>
      <c r="AB46" s="120">
        <v>44527.0</v>
      </c>
      <c r="AC46" s="120">
        <v>44528.0</v>
      </c>
      <c r="AD46" s="120">
        <v>44529.0</v>
      </c>
      <c r="AE46" s="120">
        <v>44530.0</v>
      </c>
      <c r="AF46" s="120"/>
    </row>
    <row r="47">
      <c r="A47" s="121" t="s">
        <v>93</v>
      </c>
      <c r="B47" s="122">
        <v>4.0</v>
      </c>
      <c r="C47" s="122">
        <v>6.0</v>
      </c>
      <c r="D47" s="122">
        <v>3.0</v>
      </c>
      <c r="E47" s="122">
        <v>2.0</v>
      </c>
      <c r="F47" s="122">
        <v>4.0</v>
      </c>
      <c r="G47" s="122">
        <v>1.0</v>
      </c>
      <c r="H47" s="122">
        <v>7.0</v>
      </c>
      <c r="I47" s="122">
        <v>8.0</v>
      </c>
      <c r="J47" s="122">
        <v>8.0</v>
      </c>
      <c r="K47" s="122">
        <v>5.0</v>
      </c>
      <c r="L47" s="122">
        <v>8.0</v>
      </c>
      <c r="M47" s="122">
        <v>5.0</v>
      </c>
      <c r="N47" s="122">
        <v>4.0</v>
      </c>
      <c r="O47" s="122">
        <v>4.0</v>
      </c>
      <c r="P47" s="122">
        <v>2.0</v>
      </c>
      <c r="Q47" s="122">
        <v>8.0</v>
      </c>
      <c r="R47" s="122">
        <v>5.0</v>
      </c>
      <c r="S47" s="122">
        <v>5.0</v>
      </c>
      <c r="T47" s="122">
        <v>2.0</v>
      </c>
      <c r="U47" s="122">
        <v>2.0</v>
      </c>
      <c r="V47" s="122">
        <v>5.0</v>
      </c>
      <c r="W47" s="122">
        <v>3.0</v>
      </c>
      <c r="X47" s="122">
        <v>9.0</v>
      </c>
      <c r="Y47" s="122">
        <v>6.0</v>
      </c>
      <c r="Z47" s="122">
        <v>7.0</v>
      </c>
      <c r="AA47" s="122">
        <v>9.0</v>
      </c>
      <c r="AB47" s="122">
        <v>1.0</v>
      </c>
      <c r="AC47" s="122">
        <v>3.0</v>
      </c>
      <c r="AD47" s="122">
        <v>9.0</v>
      </c>
      <c r="AE47" s="122">
        <v>3.0</v>
      </c>
      <c r="AF47" s="122"/>
    </row>
    <row r="48">
      <c r="A48" s="121" t="s">
        <v>94</v>
      </c>
      <c r="B48" s="123">
        <f t="shared" ref="B48:AE48" si="11">IFERROR(B49/B47,"-")</f>
        <v>1385.3825</v>
      </c>
      <c r="C48" s="123">
        <f t="shared" si="11"/>
        <v>791.5316667</v>
      </c>
      <c r="D48" s="123">
        <f t="shared" si="11"/>
        <v>1393.996667</v>
      </c>
      <c r="E48" s="123">
        <f t="shared" si="11"/>
        <v>2116.02</v>
      </c>
      <c r="F48" s="123">
        <f t="shared" si="11"/>
        <v>1008.005</v>
      </c>
      <c r="G48" s="123">
        <f t="shared" si="11"/>
        <v>3973.95</v>
      </c>
      <c r="H48" s="123">
        <f t="shared" si="11"/>
        <v>598.54</v>
      </c>
      <c r="I48" s="123">
        <f t="shared" si="11"/>
        <v>560.86625</v>
      </c>
      <c r="J48" s="123">
        <f t="shared" si="11"/>
        <v>596.5175</v>
      </c>
      <c r="K48" s="123">
        <f t="shared" si="11"/>
        <v>895.632</v>
      </c>
      <c r="L48" s="123">
        <f t="shared" si="11"/>
        <v>573.22875</v>
      </c>
      <c r="M48" s="123">
        <f t="shared" si="11"/>
        <v>830.222</v>
      </c>
      <c r="N48" s="123">
        <f t="shared" si="11"/>
        <v>811.98</v>
      </c>
      <c r="O48" s="123">
        <f t="shared" si="11"/>
        <v>899.555</v>
      </c>
      <c r="P48" s="123">
        <f t="shared" si="11"/>
        <v>2282.21</v>
      </c>
      <c r="Q48" s="123">
        <f t="shared" si="11"/>
        <v>541.73375</v>
      </c>
      <c r="R48" s="123">
        <f t="shared" si="11"/>
        <v>762.92</v>
      </c>
      <c r="S48" s="123">
        <f t="shared" si="11"/>
        <v>909.448</v>
      </c>
      <c r="T48" s="123">
        <f t="shared" si="11"/>
        <v>2136.115</v>
      </c>
      <c r="U48" s="123">
        <f t="shared" si="11"/>
        <v>1614.135</v>
      </c>
      <c r="V48" s="123">
        <f t="shared" si="11"/>
        <v>772.566</v>
      </c>
      <c r="W48" s="123">
        <f t="shared" si="11"/>
        <v>1266.023333</v>
      </c>
      <c r="X48" s="123">
        <f t="shared" si="11"/>
        <v>450.5855556</v>
      </c>
      <c r="Y48" s="123">
        <f t="shared" si="11"/>
        <v>829.9183333</v>
      </c>
      <c r="Z48" s="123">
        <f t="shared" si="11"/>
        <v>656.1042857</v>
      </c>
      <c r="AA48" s="123">
        <f t="shared" si="11"/>
        <v>451.5366667</v>
      </c>
      <c r="AB48" s="123">
        <f t="shared" si="11"/>
        <v>3125.53</v>
      </c>
      <c r="AC48" s="123">
        <f t="shared" si="11"/>
        <v>868.84</v>
      </c>
      <c r="AD48" s="123">
        <f t="shared" si="11"/>
        <v>535.2933333</v>
      </c>
      <c r="AE48" s="123">
        <f t="shared" si="11"/>
        <v>1727.063333</v>
      </c>
      <c r="AF48" s="123"/>
    </row>
    <row r="49">
      <c r="A49" s="121" t="s">
        <v>99</v>
      </c>
      <c r="B49" s="122">
        <v>5541.53</v>
      </c>
      <c r="C49" s="122">
        <v>4749.19</v>
      </c>
      <c r="D49" s="122">
        <v>4181.99</v>
      </c>
      <c r="E49" s="122">
        <v>4232.04</v>
      </c>
      <c r="F49" s="122">
        <v>4032.02</v>
      </c>
      <c r="G49" s="122">
        <v>3973.95</v>
      </c>
      <c r="H49" s="122">
        <v>4189.78</v>
      </c>
      <c r="I49" s="122">
        <v>4486.93</v>
      </c>
      <c r="J49" s="122">
        <v>4772.14</v>
      </c>
      <c r="K49" s="122">
        <v>4478.16</v>
      </c>
      <c r="L49" s="122">
        <v>4585.83</v>
      </c>
      <c r="M49" s="122">
        <v>4151.11</v>
      </c>
      <c r="N49" s="122">
        <v>3247.92</v>
      </c>
      <c r="O49" s="122">
        <v>3598.22</v>
      </c>
      <c r="P49" s="122">
        <v>4564.42</v>
      </c>
      <c r="Q49" s="122">
        <v>4333.87</v>
      </c>
      <c r="R49" s="122">
        <v>3814.6</v>
      </c>
      <c r="S49" s="122">
        <v>4547.24</v>
      </c>
      <c r="T49" s="122">
        <v>4272.23</v>
      </c>
      <c r="U49" s="122">
        <v>3228.27</v>
      </c>
      <c r="V49" s="122">
        <v>3862.83</v>
      </c>
      <c r="W49" s="122">
        <v>3798.07</v>
      </c>
      <c r="X49" s="122">
        <v>4055.27</v>
      </c>
      <c r="Y49" s="122">
        <v>4979.51</v>
      </c>
      <c r="Z49" s="122">
        <v>4592.73</v>
      </c>
      <c r="AA49" s="122">
        <v>4063.83</v>
      </c>
      <c r="AB49" s="122">
        <v>3125.53</v>
      </c>
      <c r="AC49" s="122">
        <v>2606.52</v>
      </c>
      <c r="AD49" s="122">
        <v>4817.64</v>
      </c>
      <c r="AE49" s="122">
        <v>5181.19</v>
      </c>
      <c r="AF49" s="122"/>
    </row>
    <row r="50">
      <c r="A50" s="51"/>
      <c r="B50" s="87"/>
      <c r="C50" s="133"/>
      <c r="D50" s="85"/>
      <c r="E50" s="85"/>
      <c r="F50" s="85"/>
      <c r="G50" s="85"/>
      <c r="H50" s="85"/>
      <c r="I50" s="85"/>
      <c r="J50" s="85"/>
      <c r="K50" s="51"/>
      <c r="L50" s="51"/>
    </row>
    <row r="51">
      <c r="A51" s="26" t="s">
        <v>106</v>
      </c>
      <c r="B51" s="27" t="s">
        <v>1</v>
      </c>
      <c r="C51" s="28" t="s">
        <v>2</v>
      </c>
      <c r="D51" s="29" t="s">
        <v>3</v>
      </c>
      <c r="E51" s="28" t="s">
        <v>4</v>
      </c>
      <c r="F51" s="29" t="s">
        <v>5</v>
      </c>
      <c r="G51" s="29" t="s">
        <v>6</v>
      </c>
      <c r="H51" s="28" t="s">
        <v>7</v>
      </c>
      <c r="I51" s="28" t="s">
        <v>8</v>
      </c>
      <c r="J51" s="29" t="s">
        <v>10</v>
      </c>
      <c r="K51" s="16"/>
      <c r="L51" s="51"/>
    </row>
    <row r="52">
      <c r="A52" s="112" t="s">
        <v>93</v>
      </c>
      <c r="B52" s="113" t="s">
        <v>110</v>
      </c>
      <c r="C52" s="78">
        <f>SUM(B56:AF56)</f>
        <v>7</v>
      </c>
      <c r="D52" s="93"/>
      <c r="E52" s="91"/>
      <c r="F52" s="78"/>
      <c r="G52" s="93"/>
      <c r="H52" s="78"/>
      <c r="I52" s="114"/>
      <c r="J52" s="115"/>
      <c r="K52" s="13"/>
      <c r="L52" s="13"/>
    </row>
    <row r="53">
      <c r="A53" s="112" t="s">
        <v>94</v>
      </c>
      <c r="B53" s="113" t="s">
        <v>110</v>
      </c>
      <c r="C53" s="132">
        <f>IFERROR(C54/C52,"-")</f>
        <v>1161.385714</v>
      </c>
      <c r="D53" s="93"/>
      <c r="E53" s="84"/>
      <c r="F53" s="132"/>
      <c r="H53" s="79"/>
      <c r="I53" s="78"/>
      <c r="J53" s="116"/>
      <c r="K53" s="13"/>
      <c r="L53" s="13"/>
    </row>
    <row r="54">
      <c r="A54" s="112" t="s">
        <v>95</v>
      </c>
      <c r="B54" s="113" t="s">
        <v>110</v>
      </c>
      <c r="C54" s="78">
        <f>SUM(B58:AF58)</f>
        <v>8129.7</v>
      </c>
      <c r="D54" s="135"/>
      <c r="E54" s="78"/>
      <c r="F54" s="78"/>
      <c r="G54" s="136"/>
      <c r="H54" s="78"/>
      <c r="I54" s="114"/>
      <c r="J54" s="91"/>
      <c r="K54" s="87"/>
      <c r="L54" s="13"/>
    </row>
    <row r="55">
      <c r="A55" s="119" t="s">
        <v>108</v>
      </c>
      <c r="B55" s="120">
        <v>44501.0</v>
      </c>
      <c r="C55" s="120">
        <v>44502.0</v>
      </c>
      <c r="D55" s="120">
        <v>44503.0</v>
      </c>
      <c r="E55" s="120">
        <v>44504.0</v>
      </c>
      <c r="F55" s="120">
        <v>44505.0</v>
      </c>
      <c r="G55" s="120">
        <v>44506.0</v>
      </c>
      <c r="H55" s="120">
        <v>44507.0</v>
      </c>
      <c r="I55" s="120">
        <v>44508.0</v>
      </c>
      <c r="J55" s="120">
        <v>44509.0</v>
      </c>
      <c r="K55" s="120">
        <v>44510.0</v>
      </c>
      <c r="L55" s="120">
        <v>44511.0</v>
      </c>
      <c r="M55" s="120">
        <v>44512.0</v>
      </c>
      <c r="N55" s="120">
        <v>44513.0</v>
      </c>
      <c r="O55" s="120">
        <v>44514.0</v>
      </c>
      <c r="P55" s="120">
        <v>44515.0</v>
      </c>
      <c r="Q55" s="120">
        <v>44516.0</v>
      </c>
      <c r="R55" s="120">
        <v>44517.0</v>
      </c>
      <c r="S55" s="120">
        <v>44518.0</v>
      </c>
      <c r="T55" s="120">
        <v>44519.0</v>
      </c>
      <c r="U55" s="120">
        <v>44520.0</v>
      </c>
      <c r="V55" s="120">
        <v>44521.0</v>
      </c>
      <c r="W55" s="120">
        <v>44522.0</v>
      </c>
      <c r="X55" s="120">
        <v>44523.0</v>
      </c>
      <c r="Y55" s="120">
        <v>44524.0</v>
      </c>
      <c r="Z55" s="120">
        <v>44525.0</v>
      </c>
      <c r="AA55" s="120">
        <v>44526.0</v>
      </c>
      <c r="AB55" s="120">
        <v>44527.0</v>
      </c>
      <c r="AC55" s="120">
        <v>44528.0</v>
      </c>
      <c r="AD55" s="120">
        <v>44529.0</v>
      </c>
      <c r="AE55" s="120">
        <v>44530.0</v>
      </c>
      <c r="AF55" s="120"/>
    </row>
    <row r="56">
      <c r="A56" s="121" t="s">
        <v>93</v>
      </c>
      <c r="B56" s="122">
        <v>0.0</v>
      </c>
      <c r="C56" s="122">
        <v>0.0</v>
      </c>
      <c r="D56" s="122">
        <v>0.0</v>
      </c>
      <c r="E56" s="122">
        <v>1.0</v>
      </c>
      <c r="F56" s="122">
        <v>0.0</v>
      </c>
      <c r="G56" s="122">
        <v>0.0</v>
      </c>
      <c r="H56" s="122">
        <v>0.0</v>
      </c>
      <c r="I56" s="122">
        <v>0.0</v>
      </c>
      <c r="J56" s="122">
        <v>0.0</v>
      </c>
      <c r="K56" s="122">
        <v>0.0</v>
      </c>
      <c r="L56" s="122">
        <v>0.0</v>
      </c>
      <c r="M56" s="122">
        <v>1.0</v>
      </c>
      <c r="N56" s="122">
        <v>0.0</v>
      </c>
      <c r="O56" s="122">
        <v>0.0</v>
      </c>
      <c r="P56" s="122">
        <v>0.0</v>
      </c>
      <c r="Q56" s="122">
        <v>0.0</v>
      </c>
      <c r="R56" s="122">
        <v>0.0</v>
      </c>
      <c r="S56" s="122">
        <v>0.0</v>
      </c>
      <c r="T56" s="122">
        <v>0.0</v>
      </c>
      <c r="U56" s="122">
        <v>0.0</v>
      </c>
      <c r="V56" s="122">
        <v>0.0</v>
      </c>
      <c r="W56" s="122">
        <v>2.0</v>
      </c>
      <c r="X56" s="122">
        <v>1.0</v>
      </c>
      <c r="Y56" s="122">
        <v>0.0</v>
      </c>
      <c r="Z56" s="122">
        <v>1.0</v>
      </c>
      <c r="AA56" s="122">
        <v>0.0</v>
      </c>
      <c r="AB56" s="122">
        <v>0.0</v>
      </c>
      <c r="AC56" s="122">
        <v>0.0</v>
      </c>
      <c r="AD56" s="122">
        <v>1.0</v>
      </c>
      <c r="AE56" s="122">
        <v>0.0</v>
      </c>
      <c r="AF56" s="122"/>
    </row>
    <row r="57">
      <c r="A57" s="121" t="s">
        <v>94</v>
      </c>
      <c r="B57" s="123" t="str">
        <f t="shared" ref="B57:AE57" si="12">IFERROR(B58/B56,"-")</f>
        <v>-</v>
      </c>
      <c r="C57" s="123" t="str">
        <f t="shared" si="12"/>
        <v>-</v>
      </c>
      <c r="D57" s="123" t="str">
        <f t="shared" si="12"/>
        <v>-</v>
      </c>
      <c r="E57" s="123">
        <f t="shared" si="12"/>
        <v>1625.94</v>
      </c>
      <c r="F57" s="123" t="str">
        <f t="shared" si="12"/>
        <v>-</v>
      </c>
      <c r="G57" s="123" t="str">
        <f t="shared" si="12"/>
        <v>-</v>
      </c>
      <c r="H57" s="123" t="str">
        <f t="shared" si="12"/>
        <v>-</v>
      </c>
      <c r="I57" s="123" t="str">
        <f t="shared" si="12"/>
        <v>-</v>
      </c>
      <c r="J57" s="123" t="str">
        <f t="shared" si="12"/>
        <v>-</v>
      </c>
      <c r="K57" s="123" t="str">
        <f t="shared" si="12"/>
        <v>-</v>
      </c>
      <c r="L57" s="123" t="str">
        <f t="shared" si="12"/>
        <v>-</v>
      </c>
      <c r="M57" s="123">
        <f t="shared" si="12"/>
        <v>1625.94</v>
      </c>
      <c r="N57" s="123" t="str">
        <f t="shared" si="12"/>
        <v>-</v>
      </c>
      <c r="O57" s="123" t="str">
        <f t="shared" si="12"/>
        <v>-</v>
      </c>
      <c r="P57" s="123" t="str">
        <f t="shared" si="12"/>
        <v>-</v>
      </c>
      <c r="Q57" s="123" t="str">
        <f t="shared" si="12"/>
        <v>-</v>
      </c>
      <c r="R57" s="123" t="str">
        <f t="shared" si="12"/>
        <v>-</v>
      </c>
      <c r="S57" s="123" t="str">
        <f t="shared" si="12"/>
        <v>-</v>
      </c>
      <c r="T57" s="123" t="str">
        <f t="shared" si="12"/>
        <v>-</v>
      </c>
      <c r="U57" s="123" t="str">
        <f t="shared" si="12"/>
        <v>-</v>
      </c>
      <c r="V57" s="123" t="str">
        <f t="shared" si="12"/>
        <v>-</v>
      </c>
      <c r="W57" s="123">
        <f t="shared" si="12"/>
        <v>812.97</v>
      </c>
      <c r="X57" s="123">
        <f t="shared" si="12"/>
        <v>1625.94</v>
      </c>
      <c r="Y57" s="123" t="str">
        <f t="shared" si="12"/>
        <v>-</v>
      </c>
      <c r="Z57" s="123">
        <f t="shared" si="12"/>
        <v>1625.94</v>
      </c>
      <c r="AA57" s="123" t="str">
        <f t="shared" si="12"/>
        <v>-</v>
      </c>
      <c r="AB57" s="123" t="str">
        <f t="shared" si="12"/>
        <v>-</v>
      </c>
      <c r="AC57" s="123" t="str">
        <f t="shared" si="12"/>
        <v>-</v>
      </c>
      <c r="AD57" s="123">
        <f t="shared" si="12"/>
        <v>0</v>
      </c>
      <c r="AE57" s="123" t="str">
        <f t="shared" si="12"/>
        <v>-</v>
      </c>
      <c r="AF57" s="123"/>
    </row>
    <row r="58">
      <c r="A58" s="121" t="s">
        <v>99</v>
      </c>
      <c r="B58" s="122">
        <v>0.0</v>
      </c>
      <c r="C58" s="122">
        <v>0.0</v>
      </c>
      <c r="D58" s="122">
        <v>0.0</v>
      </c>
      <c r="E58" s="122">
        <v>1625.94</v>
      </c>
      <c r="F58" s="122">
        <v>0.0</v>
      </c>
      <c r="G58" s="122">
        <v>0.0</v>
      </c>
      <c r="H58" s="122">
        <v>0.0</v>
      </c>
      <c r="I58" s="122">
        <v>0.0</v>
      </c>
      <c r="J58" s="122">
        <v>0.0</v>
      </c>
      <c r="K58" s="122">
        <v>0.0</v>
      </c>
      <c r="L58" s="122">
        <v>0.0</v>
      </c>
      <c r="M58" s="122">
        <v>1625.94</v>
      </c>
      <c r="N58" s="122">
        <v>0.0</v>
      </c>
      <c r="O58" s="122">
        <v>0.0</v>
      </c>
      <c r="P58" s="122">
        <v>0.0</v>
      </c>
      <c r="Q58" s="122">
        <v>0.0</v>
      </c>
      <c r="R58" s="122">
        <v>0.0</v>
      </c>
      <c r="S58" s="122">
        <v>0.0</v>
      </c>
      <c r="T58" s="122">
        <v>0.0</v>
      </c>
      <c r="U58" s="122">
        <v>0.0</v>
      </c>
      <c r="V58" s="122">
        <v>0.0</v>
      </c>
      <c r="W58" s="122">
        <v>1625.94</v>
      </c>
      <c r="X58" s="122">
        <v>1625.94</v>
      </c>
      <c r="Y58" s="122">
        <v>0.0</v>
      </c>
      <c r="Z58" s="122">
        <v>1625.94</v>
      </c>
      <c r="AA58" s="122">
        <v>0.0</v>
      </c>
      <c r="AB58" s="122">
        <v>0.0</v>
      </c>
      <c r="AC58" s="122">
        <v>0.0</v>
      </c>
      <c r="AD58" s="122">
        <v>0.0</v>
      </c>
      <c r="AE58" s="122">
        <v>0.0</v>
      </c>
      <c r="AF58" s="122"/>
    </row>
    <row r="59">
      <c r="A59" s="35"/>
      <c r="B59" s="53"/>
      <c r="C59" s="53"/>
      <c r="D59" s="53"/>
      <c r="E59" s="53"/>
      <c r="F59" s="55"/>
      <c r="G59" s="55"/>
      <c r="H59" s="54"/>
      <c r="I59" s="54"/>
      <c r="J59" s="54"/>
      <c r="K59" s="54"/>
      <c r="L59" s="54"/>
    </row>
    <row r="60">
      <c r="A60" s="26" t="s">
        <v>100</v>
      </c>
      <c r="B60" s="27" t="s">
        <v>1</v>
      </c>
      <c r="C60" s="28" t="s">
        <v>2</v>
      </c>
      <c r="D60" s="29" t="s">
        <v>3</v>
      </c>
      <c r="E60" s="28" t="s">
        <v>4</v>
      </c>
      <c r="F60" s="29" t="s">
        <v>5</v>
      </c>
      <c r="G60" s="29" t="s">
        <v>6</v>
      </c>
      <c r="H60" s="28" t="s">
        <v>7</v>
      </c>
      <c r="I60" s="28" t="s">
        <v>8</v>
      </c>
      <c r="J60" s="29" t="s">
        <v>10</v>
      </c>
      <c r="K60" s="16"/>
      <c r="L60" s="51"/>
    </row>
    <row r="61">
      <c r="A61" s="112" t="s">
        <v>93</v>
      </c>
      <c r="B61" s="113">
        <v>85.0</v>
      </c>
      <c r="C61" s="78">
        <f>SUM(B65:AF65)</f>
        <v>93</v>
      </c>
      <c r="D61" s="93">
        <f>C61/B61</f>
        <v>1.094117647</v>
      </c>
      <c r="E61" s="91">
        <f>B61-C61</f>
        <v>-8</v>
      </c>
      <c r="F61" s="78"/>
      <c r="G61" s="124"/>
      <c r="H61" s="78"/>
      <c r="I61" s="114"/>
      <c r="J61" s="115">
        <f>C61/30</f>
        <v>3.1</v>
      </c>
      <c r="K61" s="79"/>
      <c r="L61" s="79"/>
    </row>
    <row r="62">
      <c r="A62" s="112" t="s">
        <v>94</v>
      </c>
      <c r="B62" s="78">
        <f>B63/B61</f>
        <v>710</v>
      </c>
      <c r="C62" s="132">
        <f>IFERROR(C63/C61,"-")</f>
        <v>523.8523656</v>
      </c>
      <c r="D62" s="93"/>
      <c r="E62" s="79"/>
      <c r="F62" s="78"/>
      <c r="G62" s="93"/>
      <c r="H62" s="79"/>
      <c r="I62" s="78"/>
      <c r="J62" s="116"/>
      <c r="K62" s="79"/>
      <c r="L62" s="79"/>
    </row>
    <row r="63">
      <c r="A63" s="112" t="s">
        <v>95</v>
      </c>
      <c r="B63" s="113">
        <v>60350.0</v>
      </c>
      <c r="C63" s="78">
        <f>SUM(B67:AF67)-175</f>
        <v>48718.27</v>
      </c>
      <c r="D63" s="93">
        <f>C63/B63</f>
        <v>0.8072621375</v>
      </c>
      <c r="E63" s="78">
        <f>B63-C63</f>
        <v>11631.73</v>
      </c>
      <c r="F63" s="78"/>
      <c r="G63" s="124"/>
      <c r="H63" s="78"/>
      <c r="I63" s="78"/>
      <c r="J63" s="91">
        <f>C63/30</f>
        <v>1623.942333</v>
      </c>
      <c r="K63" s="79"/>
      <c r="L63" s="79"/>
    </row>
    <row r="64">
      <c r="A64" s="119" t="s">
        <v>101</v>
      </c>
      <c r="B64" s="120">
        <v>44501.0</v>
      </c>
      <c r="C64" s="120">
        <v>44502.0</v>
      </c>
      <c r="D64" s="120">
        <v>44503.0</v>
      </c>
      <c r="E64" s="120">
        <v>44504.0</v>
      </c>
      <c r="F64" s="120">
        <v>44505.0</v>
      </c>
      <c r="G64" s="120">
        <v>44506.0</v>
      </c>
      <c r="H64" s="120">
        <v>44507.0</v>
      </c>
      <c r="I64" s="120">
        <v>44508.0</v>
      </c>
      <c r="J64" s="120">
        <v>44509.0</v>
      </c>
      <c r="K64" s="120">
        <v>44510.0</v>
      </c>
      <c r="L64" s="120">
        <v>44511.0</v>
      </c>
      <c r="M64" s="120">
        <v>44512.0</v>
      </c>
      <c r="N64" s="120">
        <v>44513.0</v>
      </c>
      <c r="O64" s="120">
        <v>44514.0</v>
      </c>
      <c r="P64" s="120">
        <v>44515.0</v>
      </c>
      <c r="Q64" s="120">
        <v>44516.0</v>
      </c>
      <c r="R64" s="120">
        <v>44517.0</v>
      </c>
      <c r="S64" s="120">
        <v>44518.0</v>
      </c>
      <c r="T64" s="120">
        <v>44519.0</v>
      </c>
      <c r="U64" s="120">
        <v>44520.0</v>
      </c>
      <c r="V64" s="120">
        <v>44521.0</v>
      </c>
      <c r="W64" s="120">
        <v>44522.0</v>
      </c>
      <c r="X64" s="120">
        <v>44523.0</v>
      </c>
      <c r="Y64" s="120">
        <v>44524.0</v>
      </c>
      <c r="Z64" s="120">
        <v>44525.0</v>
      </c>
      <c r="AA64" s="120">
        <v>44526.0</v>
      </c>
      <c r="AB64" s="120">
        <v>44527.0</v>
      </c>
      <c r="AC64" s="120">
        <v>44528.0</v>
      </c>
      <c r="AD64" s="120">
        <v>44529.0</v>
      </c>
      <c r="AE64" s="120">
        <v>44530.0</v>
      </c>
      <c r="AF64" s="120"/>
    </row>
    <row r="65">
      <c r="A65" s="121" t="s">
        <v>93</v>
      </c>
      <c r="B65" s="122">
        <v>4.0</v>
      </c>
      <c r="C65" s="122">
        <v>0.0</v>
      </c>
      <c r="D65" s="122">
        <v>3.0</v>
      </c>
      <c r="E65" s="122">
        <v>1.0</v>
      </c>
      <c r="F65" s="122">
        <v>2.0</v>
      </c>
      <c r="G65" s="122">
        <v>3.0</v>
      </c>
      <c r="H65" s="122">
        <v>3.0</v>
      </c>
      <c r="I65" s="122">
        <v>7.0</v>
      </c>
      <c r="J65" s="122">
        <v>4.0</v>
      </c>
      <c r="K65" s="122">
        <v>3.0</v>
      </c>
      <c r="L65" s="122">
        <v>2.0</v>
      </c>
      <c r="M65" s="122">
        <v>6.0</v>
      </c>
      <c r="N65" s="122">
        <v>6.0</v>
      </c>
      <c r="O65" s="122">
        <v>2.0</v>
      </c>
      <c r="P65" s="122">
        <v>2.0</v>
      </c>
      <c r="Q65" s="122">
        <v>3.0</v>
      </c>
      <c r="R65" s="122">
        <v>4.0</v>
      </c>
      <c r="S65" s="122">
        <v>3.0</v>
      </c>
      <c r="T65" s="122">
        <v>2.0</v>
      </c>
      <c r="U65" s="122">
        <v>3.0</v>
      </c>
      <c r="V65" s="122">
        <v>4.0</v>
      </c>
      <c r="W65" s="122">
        <v>3.0</v>
      </c>
      <c r="X65" s="122">
        <v>2.0</v>
      </c>
      <c r="Y65" s="122">
        <v>2.0</v>
      </c>
      <c r="Z65" s="122">
        <v>2.0</v>
      </c>
      <c r="AA65" s="122">
        <v>2.0</v>
      </c>
      <c r="AB65" s="122">
        <v>3.0</v>
      </c>
      <c r="AC65" s="122">
        <v>1.0</v>
      </c>
      <c r="AD65" s="122">
        <v>8.0</v>
      </c>
      <c r="AE65" s="122">
        <v>3.0</v>
      </c>
      <c r="AF65" s="122"/>
    </row>
    <row r="66">
      <c r="A66" s="121" t="s">
        <v>94</v>
      </c>
      <c r="B66" s="123">
        <f t="shared" ref="B66:AE66" si="13">IFERROR(B67/B65,"-")</f>
        <v>883.1275</v>
      </c>
      <c r="C66" s="123" t="str">
        <f t="shared" si="13"/>
        <v>-</v>
      </c>
      <c r="D66" s="123">
        <f t="shared" si="13"/>
        <v>499.8533333</v>
      </c>
      <c r="E66" s="123">
        <f t="shared" si="13"/>
        <v>1053.39</v>
      </c>
      <c r="F66" s="123">
        <f t="shared" si="13"/>
        <v>1083.095</v>
      </c>
      <c r="G66" s="123">
        <f t="shared" si="13"/>
        <v>638.3533333</v>
      </c>
      <c r="H66" s="123">
        <f t="shared" si="13"/>
        <v>393.3566667</v>
      </c>
      <c r="I66" s="123">
        <f t="shared" si="13"/>
        <v>370.5971429</v>
      </c>
      <c r="J66" s="123">
        <f t="shared" si="13"/>
        <v>594.54</v>
      </c>
      <c r="K66" s="123">
        <f t="shared" si="13"/>
        <v>571.5433333</v>
      </c>
      <c r="L66" s="123">
        <f t="shared" si="13"/>
        <v>109.715</v>
      </c>
      <c r="M66" s="123">
        <f t="shared" si="13"/>
        <v>320.8466667</v>
      </c>
      <c r="N66" s="123">
        <f t="shared" si="13"/>
        <v>166.46</v>
      </c>
      <c r="O66" s="123">
        <f t="shared" si="13"/>
        <v>168.025</v>
      </c>
      <c r="P66" s="123">
        <f t="shared" si="13"/>
        <v>934.925</v>
      </c>
      <c r="Q66" s="123">
        <f t="shared" si="13"/>
        <v>776.63</v>
      </c>
      <c r="R66" s="123">
        <f t="shared" si="13"/>
        <v>381.055</v>
      </c>
      <c r="S66" s="123">
        <f t="shared" si="13"/>
        <v>385.3666667</v>
      </c>
      <c r="T66" s="123">
        <f t="shared" si="13"/>
        <v>581.935</v>
      </c>
      <c r="U66" s="123">
        <f t="shared" si="13"/>
        <v>592.8133333</v>
      </c>
      <c r="V66" s="123">
        <f t="shared" si="13"/>
        <v>211.925</v>
      </c>
      <c r="W66" s="123">
        <f t="shared" si="13"/>
        <v>537.9366667</v>
      </c>
      <c r="X66" s="123">
        <f t="shared" si="13"/>
        <v>768.885</v>
      </c>
      <c r="Y66" s="123">
        <f t="shared" si="13"/>
        <v>629.71</v>
      </c>
      <c r="Z66" s="123">
        <f t="shared" si="13"/>
        <v>752.645</v>
      </c>
      <c r="AA66" s="123">
        <f t="shared" si="13"/>
        <v>712.86</v>
      </c>
      <c r="AB66" s="123">
        <f t="shared" si="13"/>
        <v>139.08</v>
      </c>
      <c r="AC66" s="123">
        <f t="shared" si="13"/>
        <v>839.41</v>
      </c>
      <c r="AD66" s="123">
        <f t="shared" si="13"/>
        <v>443.19875</v>
      </c>
      <c r="AE66" s="123">
        <f t="shared" si="13"/>
        <v>495.88</v>
      </c>
      <c r="AF66" s="123"/>
    </row>
    <row r="67">
      <c r="A67" s="121" t="s">
        <v>99</v>
      </c>
      <c r="B67" s="122">
        <v>3532.51</v>
      </c>
      <c r="C67" s="122">
        <v>3078.24</v>
      </c>
      <c r="D67" s="122">
        <v>1499.56</v>
      </c>
      <c r="E67" s="122">
        <v>1053.39</v>
      </c>
      <c r="F67" s="122">
        <v>2166.19</v>
      </c>
      <c r="G67" s="122">
        <v>1915.06</v>
      </c>
      <c r="H67" s="122">
        <v>1180.07</v>
      </c>
      <c r="I67" s="122">
        <v>2594.18</v>
      </c>
      <c r="J67" s="122">
        <v>2378.16</v>
      </c>
      <c r="K67" s="122">
        <v>1714.63</v>
      </c>
      <c r="L67" s="122">
        <v>219.43</v>
      </c>
      <c r="M67" s="122">
        <v>1925.08</v>
      </c>
      <c r="N67" s="122">
        <v>998.76</v>
      </c>
      <c r="O67" s="122">
        <v>336.05</v>
      </c>
      <c r="P67" s="122">
        <v>1869.85</v>
      </c>
      <c r="Q67" s="122">
        <v>2329.89</v>
      </c>
      <c r="R67" s="122">
        <v>1524.22</v>
      </c>
      <c r="S67" s="122">
        <v>1156.1</v>
      </c>
      <c r="T67" s="122">
        <v>1163.87</v>
      </c>
      <c r="U67" s="122">
        <v>1778.44</v>
      </c>
      <c r="V67" s="122">
        <v>847.7</v>
      </c>
      <c r="W67" s="122">
        <v>1613.81</v>
      </c>
      <c r="X67" s="122">
        <v>1537.77</v>
      </c>
      <c r="Y67" s="122">
        <v>1259.42</v>
      </c>
      <c r="Z67" s="122">
        <v>1505.29</v>
      </c>
      <c r="AA67" s="122">
        <v>1425.72</v>
      </c>
      <c r="AB67" s="122">
        <v>417.24</v>
      </c>
      <c r="AC67" s="122">
        <v>839.41</v>
      </c>
      <c r="AD67" s="122">
        <v>3545.59</v>
      </c>
      <c r="AE67" s="122">
        <v>1487.64</v>
      </c>
      <c r="AF67" s="122"/>
    </row>
    <row r="68">
      <c r="A68" s="125"/>
      <c r="B68" s="9"/>
      <c r="C68" s="13"/>
      <c r="D68" s="13"/>
      <c r="E68" s="13"/>
      <c r="F68" s="126"/>
      <c r="G68" s="126"/>
      <c r="H68" s="16"/>
      <c r="I68" s="16"/>
      <c r="J68" s="126"/>
      <c r="K68" s="16"/>
    </row>
    <row r="69">
      <c r="A69" s="125"/>
      <c r="B69" s="9"/>
      <c r="C69" s="13"/>
      <c r="D69" s="13"/>
      <c r="E69" s="13"/>
      <c r="F69" s="126"/>
      <c r="G69" s="126"/>
      <c r="H69" s="16"/>
      <c r="I69" s="16"/>
      <c r="J69" s="126"/>
      <c r="K69" s="16"/>
    </row>
    <row r="70">
      <c r="A70" s="125"/>
      <c r="B70" s="9"/>
      <c r="C70" s="13"/>
      <c r="D70" s="13"/>
      <c r="E70" s="13"/>
      <c r="F70" s="126"/>
      <c r="G70" s="126"/>
      <c r="H70" s="16"/>
      <c r="I70" s="16"/>
      <c r="J70" s="126"/>
      <c r="K70" s="16"/>
    </row>
    <row r="71">
      <c r="A71" s="100" t="s">
        <v>103</v>
      </c>
      <c r="B71" s="101" t="s">
        <v>1</v>
      </c>
      <c r="C71" s="102" t="s">
        <v>2</v>
      </c>
      <c r="D71" s="127" t="s">
        <v>3</v>
      </c>
      <c r="E71" s="102" t="s">
        <v>4</v>
      </c>
      <c r="F71" s="103" t="s">
        <v>5</v>
      </c>
      <c r="G71" s="103" t="s">
        <v>6</v>
      </c>
      <c r="H71" s="104" t="s">
        <v>7</v>
      </c>
      <c r="I71" s="104" t="s">
        <v>8</v>
      </c>
      <c r="J71" s="103" t="s">
        <v>10</v>
      </c>
      <c r="K71" s="16"/>
    </row>
    <row r="72">
      <c r="A72" s="105" t="s">
        <v>93</v>
      </c>
      <c r="B72" s="9">
        <f t="shared" ref="B72:C72" si="14">B78+B96</f>
        <v>250</v>
      </c>
      <c r="C72" s="9">
        <f t="shared" si="14"/>
        <v>264</v>
      </c>
      <c r="D72" s="10">
        <f>C72/B72</f>
        <v>1.056</v>
      </c>
      <c r="E72" s="9">
        <f>B72-C72</f>
        <v>-14</v>
      </c>
      <c r="F72" s="9"/>
      <c r="G72" s="10"/>
      <c r="H72" s="9"/>
      <c r="I72" s="106"/>
      <c r="J72" s="46">
        <f>C72/31</f>
        <v>8.516129032</v>
      </c>
      <c r="K72" s="107"/>
      <c r="L72" s="136"/>
      <c r="M72" s="91"/>
      <c r="N72" s="108"/>
    </row>
    <row r="73">
      <c r="A73" s="105" t="s">
        <v>94</v>
      </c>
      <c r="B73" s="8">
        <f>B74/B72</f>
        <v>768</v>
      </c>
      <c r="C73" s="130">
        <f>IFERROR(C74/C72,"-")</f>
        <v>1045.59822</v>
      </c>
      <c r="D73" s="10"/>
      <c r="E73" s="109"/>
      <c r="F73" s="9"/>
      <c r="G73" s="10"/>
      <c r="H73" s="109"/>
      <c r="I73" s="109"/>
      <c r="J73" s="107"/>
      <c r="K73" s="107"/>
      <c r="M73" s="91"/>
      <c r="N73" s="108"/>
    </row>
    <row r="74">
      <c r="A74" s="105" t="s">
        <v>95</v>
      </c>
      <c r="B74" s="9">
        <f t="shared" ref="B74:C74" si="15">B80+B98</f>
        <v>192000</v>
      </c>
      <c r="C74" s="9">
        <f t="shared" si="15"/>
        <v>276037.93</v>
      </c>
      <c r="D74" s="10">
        <f>C74/B74</f>
        <v>1.437697552</v>
      </c>
      <c r="E74" s="9">
        <f>B74-C74</f>
        <v>-84037.93</v>
      </c>
      <c r="F74" s="9"/>
      <c r="G74" s="10"/>
      <c r="H74" s="9"/>
      <c r="I74" s="19"/>
      <c r="J74" s="19">
        <f>C74/31</f>
        <v>8904.449355</v>
      </c>
      <c r="K74" s="107"/>
    </row>
    <row r="75">
      <c r="L75" s="137"/>
    </row>
    <row r="76">
      <c r="A76" s="110" t="s">
        <v>96</v>
      </c>
      <c r="B76" s="22"/>
      <c r="C76" s="23"/>
      <c r="D76" s="23"/>
      <c r="E76" s="23"/>
      <c r="F76" s="23"/>
      <c r="G76" s="23"/>
      <c r="H76" s="23"/>
      <c r="I76" s="23"/>
      <c r="J76" s="23"/>
      <c r="K76" s="24"/>
      <c r="L76" s="24"/>
    </row>
    <row r="77">
      <c r="A77" s="26" t="s">
        <v>109</v>
      </c>
      <c r="B77" s="27" t="s">
        <v>1</v>
      </c>
      <c r="C77" s="28" t="s">
        <v>2</v>
      </c>
      <c r="D77" s="29" t="s">
        <v>3</v>
      </c>
      <c r="E77" s="28" t="s">
        <v>4</v>
      </c>
      <c r="F77" s="29" t="s">
        <v>5</v>
      </c>
      <c r="G77" s="29" t="s">
        <v>6</v>
      </c>
      <c r="H77" s="28" t="s">
        <v>7</v>
      </c>
      <c r="I77" s="28" t="s">
        <v>8</v>
      </c>
      <c r="J77" s="29" t="s">
        <v>10</v>
      </c>
      <c r="K77" s="16"/>
      <c r="L77" s="111"/>
    </row>
    <row r="78">
      <c r="A78" s="112" t="s">
        <v>93</v>
      </c>
      <c r="B78" s="113">
        <v>165.0</v>
      </c>
      <c r="C78" s="78">
        <f>SUM(B82:AF82)+SUM(B91:AF91)</f>
        <v>185</v>
      </c>
      <c r="D78" s="93">
        <f>C78/B78</f>
        <v>1.121212121</v>
      </c>
      <c r="E78" s="91">
        <f>B78-C78</f>
        <v>-20</v>
      </c>
      <c r="F78" s="78"/>
      <c r="G78" s="93"/>
      <c r="H78" s="78"/>
      <c r="I78" s="114"/>
      <c r="J78" s="115">
        <f>C78/31</f>
        <v>5.967741935</v>
      </c>
      <c r="K78" s="116"/>
      <c r="L78" s="13"/>
    </row>
    <row r="79">
      <c r="A79" s="112" t="s">
        <v>94</v>
      </c>
      <c r="B79" s="78">
        <f>B80/B78</f>
        <v>800</v>
      </c>
      <c r="C79" s="132">
        <f>IFERROR(C80/C78,"-")</f>
        <v>994.7337838</v>
      </c>
      <c r="D79" s="93"/>
      <c r="E79" s="79"/>
      <c r="F79" s="78"/>
      <c r="G79" s="93"/>
      <c r="H79" s="116"/>
      <c r="I79" s="117"/>
      <c r="J79" s="116"/>
      <c r="K79" s="116"/>
      <c r="L79" s="13"/>
    </row>
    <row r="80">
      <c r="A80" s="112" t="s">
        <v>95</v>
      </c>
      <c r="B80" s="113">
        <v>132000.0</v>
      </c>
      <c r="C80" s="78">
        <f>SUM(B84:AF84)+SUM(B93:AF93)</f>
        <v>184025.75</v>
      </c>
      <c r="D80" s="93">
        <f>C80/B80</f>
        <v>1.39413447</v>
      </c>
      <c r="E80" s="78">
        <f>B80-C80</f>
        <v>-52025.75</v>
      </c>
      <c r="F80" s="78"/>
      <c r="G80" s="93"/>
      <c r="H80" s="78"/>
      <c r="I80" s="78"/>
      <c r="J80" s="91">
        <f>C80/31</f>
        <v>5936.314516</v>
      </c>
      <c r="K80" s="118"/>
      <c r="L80" s="13"/>
    </row>
    <row r="81">
      <c r="A81" s="119" t="s">
        <v>98</v>
      </c>
      <c r="B81" s="120">
        <v>44470.0</v>
      </c>
      <c r="C81" s="120">
        <v>44471.0</v>
      </c>
      <c r="D81" s="120">
        <v>44472.0</v>
      </c>
      <c r="E81" s="120">
        <v>44473.0</v>
      </c>
      <c r="F81" s="120">
        <v>44474.0</v>
      </c>
      <c r="G81" s="120">
        <v>44475.0</v>
      </c>
      <c r="H81" s="120">
        <v>44476.0</v>
      </c>
      <c r="I81" s="120">
        <v>44477.0</v>
      </c>
      <c r="J81" s="120">
        <v>44478.0</v>
      </c>
      <c r="K81" s="120">
        <v>44479.0</v>
      </c>
      <c r="L81" s="120">
        <v>44480.0</v>
      </c>
      <c r="M81" s="120">
        <v>44481.0</v>
      </c>
      <c r="N81" s="120">
        <v>44482.0</v>
      </c>
      <c r="O81" s="120">
        <v>44483.0</v>
      </c>
      <c r="P81" s="120">
        <v>44484.0</v>
      </c>
      <c r="Q81" s="120">
        <v>44485.0</v>
      </c>
      <c r="R81" s="120">
        <v>44486.0</v>
      </c>
      <c r="S81" s="120">
        <v>44487.0</v>
      </c>
      <c r="T81" s="120">
        <v>44488.0</v>
      </c>
      <c r="U81" s="120">
        <v>44489.0</v>
      </c>
      <c r="V81" s="120">
        <v>44490.0</v>
      </c>
      <c r="W81" s="120">
        <v>44491.0</v>
      </c>
      <c r="X81" s="120">
        <v>44492.0</v>
      </c>
      <c r="Y81" s="120">
        <v>44493.0</v>
      </c>
      <c r="Z81" s="120">
        <v>44494.0</v>
      </c>
      <c r="AA81" s="120">
        <v>44495.0</v>
      </c>
      <c r="AB81" s="120">
        <v>44496.0</v>
      </c>
      <c r="AC81" s="120">
        <v>44497.0</v>
      </c>
      <c r="AD81" s="120">
        <v>44498.0</v>
      </c>
      <c r="AE81" s="120">
        <v>44499.0</v>
      </c>
      <c r="AF81" s="120">
        <v>44500.0</v>
      </c>
    </row>
    <row r="82">
      <c r="A82" s="121" t="s">
        <v>93</v>
      </c>
      <c r="B82" s="122">
        <v>6.0</v>
      </c>
      <c r="C82" s="122">
        <v>4.0</v>
      </c>
      <c r="D82" s="122">
        <v>5.0</v>
      </c>
      <c r="E82" s="122">
        <v>11.0</v>
      </c>
      <c r="F82" s="122">
        <v>1.0</v>
      </c>
      <c r="G82" s="122">
        <v>7.0</v>
      </c>
      <c r="H82" s="122">
        <v>4.0</v>
      </c>
      <c r="I82" s="122">
        <v>4.0</v>
      </c>
      <c r="J82" s="122">
        <v>4.0</v>
      </c>
      <c r="K82" s="122">
        <v>4.0</v>
      </c>
      <c r="L82" s="122">
        <v>7.0</v>
      </c>
      <c r="M82" s="122">
        <v>7.0</v>
      </c>
      <c r="N82" s="122">
        <v>7.0</v>
      </c>
      <c r="O82" s="122">
        <v>4.0</v>
      </c>
      <c r="P82" s="122">
        <v>12.0</v>
      </c>
      <c r="Q82" s="122">
        <v>3.0</v>
      </c>
      <c r="R82" s="122">
        <v>7.0</v>
      </c>
      <c r="S82" s="122">
        <v>5.0</v>
      </c>
      <c r="T82" s="122">
        <v>6.0</v>
      </c>
      <c r="U82" s="122">
        <v>15.0</v>
      </c>
      <c r="V82" s="122">
        <v>10.0</v>
      </c>
      <c r="W82" s="122">
        <v>4.0</v>
      </c>
      <c r="X82" s="122">
        <v>7.0</v>
      </c>
      <c r="Y82" s="122">
        <v>2.0</v>
      </c>
      <c r="Z82" s="122">
        <v>10.0</v>
      </c>
      <c r="AA82" s="122">
        <v>6.0</v>
      </c>
      <c r="AB82" s="122">
        <v>6.0</v>
      </c>
      <c r="AC82" s="122">
        <v>1.0</v>
      </c>
      <c r="AD82" s="122">
        <v>8.0</v>
      </c>
      <c r="AE82" s="122">
        <v>4.0</v>
      </c>
      <c r="AF82" s="122">
        <v>1.0</v>
      </c>
    </row>
    <row r="83">
      <c r="A83" s="121" t="s">
        <v>94</v>
      </c>
      <c r="B83" s="123">
        <f t="shared" ref="B83:AF83" si="16">IFERROR(B84/B82,"-")</f>
        <v>903.9066667</v>
      </c>
      <c r="C83" s="123">
        <f t="shared" si="16"/>
        <v>862.6925</v>
      </c>
      <c r="D83" s="123">
        <f t="shared" si="16"/>
        <v>897.6</v>
      </c>
      <c r="E83" s="123">
        <f t="shared" si="16"/>
        <v>462.5672727</v>
      </c>
      <c r="F83" s="123">
        <f t="shared" si="16"/>
        <v>5229.92</v>
      </c>
      <c r="G83" s="123">
        <f t="shared" si="16"/>
        <v>740.9114286</v>
      </c>
      <c r="H83" s="123">
        <f t="shared" si="16"/>
        <v>990.585</v>
      </c>
      <c r="I83" s="123">
        <f t="shared" si="16"/>
        <v>1509.9825</v>
      </c>
      <c r="J83" s="123">
        <f t="shared" si="16"/>
        <v>1200.34</v>
      </c>
      <c r="K83" s="123">
        <f t="shared" si="16"/>
        <v>1662.5375</v>
      </c>
      <c r="L83" s="123">
        <f t="shared" si="16"/>
        <v>1040.534286</v>
      </c>
      <c r="M83" s="123">
        <f t="shared" si="16"/>
        <v>497.1185714</v>
      </c>
      <c r="N83" s="123">
        <f t="shared" si="16"/>
        <v>607.0457143</v>
      </c>
      <c r="O83" s="123">
        <f t="shared" si="16"/>
        <v>1780.5725</v>
      </c>
      <c r="P83" s="123">
        <f t="shared" si="16"/>
        <v>504.89</v>
      </c>
      <c r="Q83" s="123">
        <f t="shared" si="16"/>
        <v>2045.086667</v>
      </c>
      <c r="R83" s="123">
        <f t="shared" si="16"/>
        <v>883.5157143</v>
      </c>
      <c r="S83" s="123">
        <f t="shared" si="16"/>
        <v>1302.678</v>
      </c>
      <c r="T83" s="123">
        <f t="shared" si="16"/>
        <v>1097.826667</v>
      </c>
      <c r="U83" s="123">
        <f t="shared" si="16"/>
        <v>532.4633333</v>
      </c>
      <c r="V83" s="123">
        <f t="shared" si="16"/>
        <v>697.572</v>
      </c>
      <c r="W83" s="123">
        <f t="shared" si="16"/>
        <v>1450.925</v>
      </c>
      <c r="X83" s="123">
        <f t="shared" si="16"/>
        <v>715.2757143</v>
      </c>
      <c r="Y83" s="123">
        <f t="shared" si="16"/>
        <v>2698</v>
      </c>
      <c r="Z83" s="123">
        <f t="shared" si="16"/>
        <v>907.552</v>
      </c>
      <c r="AA83" s="123">
        <f t="shared" si="16"/>
        <v>660.7733333</v>
      </c>
      <c r="AB83" s="123">
        <f t="shared" si="16"/>
        <v>993.8033333</v>
      </c>
      <c r="AC83" s="123">
        <f t="shared" si="16"/>
        <v>10088.86</v>
      </c>
      <c r="AD83" s="123">
        <f t="shared" si="16"/>
        <v>570.55625</v>
      </c>
      <c r="AE83" s="123">
        <f t="shared" si="16"/>
        <v>964.155</v>
      </c>
      <c r="AF83" s="123">
        <f t="shared" si="16"/>
        <v>3388.18</v>
      </c>
    </row>
    <row r="84">
      <c r="A84" s="121" t="s">
        <v>99</v>
      </c>
      <c r="B84" s="122">
        <v>5423.44</v>
      </c>
      <c r="C84" s="122">
        <v>3450.77</v>
      </c>
      <c r="D84" s="122">
        <v>4488.0</v>
      </c>
      <c r="E84" s="122">
        <v>5088.24</v>
      </c>
      <c r="F84" s="122">
        <v>5229.92</v>
      </c>
      <c r="G84" s="122">
        <v>5186.38</v>
      </c>
      <c r="H84" s="122">
        <v>3962.34</v>
      </c>
      <c r="I84" s="122">
        <v>6039.93</v>
      </c>
      <c r="J84" s="122">
        <v>4801.36</v>
      </c>
      <c r="K84" s="122">
        <v>6650.15</v>
      </c>
      <c r="L84" s="122">
        <v>7283.74</v>
      </c>
      <c r="M84" s="122">
        <v>3479.83</v>
      </c>
      <c r="N84" s="122">
        <v>4249.32</v>
      </c>
      <c r="O84" s="122">
        <v>7122.29</v>
      </c>
      <c r="P84" s="122">
        <v>6058.68</v>
      </c>
      <c r="Q84" s="122">
        <v>6135.26</v>
      </c>
      <c r="R84" s="122">
        <v>6184.61</v>
      </c>
      <c r="S84" s="122">
        <v>6513.39</v>
      </c>
      <c r="T84" s="122">
        <v>6586.96</v>
      </c>
      <c r="U84" s="122">
        <v>7986.95</v>
      </c>
      <c r="V84" s="122">
        <v>6975.72</v>
      </c>
      <c r="W84" s="122">
        <v>5803.7</v>
      </c>
      <c r="X84" s="122">
        <v>5006.93</v>
      </c>
      <c r="Y84" s="122">
        <v>5396.0</v>
      </c>
      <c r="Z84" s="122">
        <v>9075.52</v>
      </c>
      <c r="AA84" s="122">
        <v>3964.64</v>
      </c>
      <c r="AB84" s="122">
        <v>5962.82</v>
      </c>
      <c r="AC84" s="122">
        <v>10088.86</v>
      </c>
      <c r="AD84" s="122">
        <v>4564.45</v>
      </c>
      <c r="AE84" s="122">
        <v>3856.62</v>
      </c>
      <c r="AF84" s="122">
        <v>3388.18</v>
      </c>
    </row>
    <row r="85">
      <c r="A85" s="51"/>
      <c r="B85" s="87"/>
      <c r="C85" s="133"/>
      <c r="D85" s="85"/>
      <c r="E85" s="85"/>
      <c r="F85" s="85"/>
      <c r="G85" s="85"/>
      <c r="H85" s="85"/>
      <c r="I85" s="85"/>
      <c r="J85" s="85"/>
      <c r="K85" s="51"/>
      <c r="L85" s="51"/>
    </row>
    <row r="86">
      <c r="A86" s="26" t="s">
        <v>106</v>
      </c>
      <c r="B86" s="27" t="s">
        <v>1</v>
      </c>
      <c r="C86" s="28" t="s">
        <v>2</v>
      </c>
      <c r="D86" s="29" t="s">
        <v>3</v>
      </c>
      <c r="E86" s="28" t="s">
        <v>4</v>
      </c>
      <c r="F86" s="29" t="s">
        <v>5</v>
      </c>
      <c r="G86" s="29" t="s">
        <v>6</v>
      </c>
      <c r="H86" s="28" t="s">
        <v>7</v>
      </c>
      <c r="I86" s="28" t="s">
        <v>8</v>
      </c>
      <c r="J86" s="29" t="s">
        <v>10</v>
      </c>
      <c r="K86" s="16"/>
      <c r="L86" s="51"/>
    </row>
    <row r="87">
      <c r="A87" s="112" t="s">
        <v>93</v>
      </c>
      <c r="B87" s="113">
        <v>5.0</v>
      </c>
      <c r="C87" s="78">
        <f>SUM(B91:AF91)</f>
        <v>3</v>
      </c>
      <c r="D87" s="93">
        <f>C87/B87</f>
        <v>0.6</v>
      </c>
      <c r="E87" s="91">
        <f>B87-C87</f>
        <v>2</v>
      </c>
      <c r="F87" s="78"/>
      <c r="G87" s="93"/>
      <c r="H87" s="78"/>
      <c r="I87" s="114"/>
      <c r="J87" s="115">
        <f>C87/31</f>
        <v>0.09677419355</v>
      </c>
      <c r="K87" s="13"/>
      <c r="L87" s="13"/>
    </row>
    <row r="88">
      <c r="A88" s="112" t="s">
        <v>94</v>
      </c>
      <c r="B88" s="113" t="s">
        <v>110</v>
      </c>
      <c r="C88" s="132">
        <f>IFERROR(C89/C87,"-")</f>
        <v>2673.583333</v>
      </c>
      <c r="D88" s="93"/>
      <c r="E88" s="84"/>
      <c r="F88" s="132"/>
      <c r="H88" s="79"/>
      <c r="I88" s="78"/>
      <c r="J88" s="116"/>
      <c r="K88" s="13"/>
      <c r="L88" s="13"/>
    </row>
    <row r="89">
      <c r="A89" s="112" t="s">
        <v>95</v>
      </c>
      <c r="B89" s="113" t="s">
        <v>110</v>
      </c>
      <c r="C89" s="78">
        <f>SUM(B93:AF93)</f>
        <v>8020.75</v>
      </c>
      <c r="D89" s="135"/>
      <c r="E89" s="78"/>
      <c r="F89" s="78"/>
      <c r="G89" s="136"/>
      <c r="H89" s="78"/>
      <c r="I89" s="114"/>
      <c r="J89" s="91">
        <f>C89/31</f>
        <v>258.733871</v>
      </c>
      <c r="K89" s="87"/>
      <c r="L89" s="13"/>
    </row>
    <row r="90">
      <c r="A90" s="119" t="s">
        <v>108</v>
      </c>
      <c r="B90" s="120">
        <v>44470.0</v>
      </c>
      <c r="C90" s="120">
        <v>44471.0</v>
      </c>
      <c r="D90" s="120">
        <v>44472.0</v>
      </c>
      <c r="E90" s="120">
        <v>44473.0</v>
      </c>
      <c r="F90" s="120">
        <v>44474.0</v>
      </c>
      <c r="G90" s="120">
        <v>44475.0</v>
      </c>
      <c r="H90" s="120">
        <v>44476.0</v>
      </c>
      <c r="I90" s="120">
        <v>44477.0</v>
      </c>
      <c r="J90" s="120">
        <v>44478.0</v>
      </c>
      <c r="K90" s="120">
        <v>44479.0</v>
      </c>
      <c r="L90" s="120">
        <v>44480.0</v>
      </c>
      <c r="M90" s="120">
        <v>44481.0</v>
      </c>
      <c r="N90" s="120">
        <v>44482.0</v>
      </c>
      <c r="O90" s="120">
        <v>44483.0</v>
      </c>
      <c r="P90" s="120">
        <v>44484.0</v>
      </c>
      <c r="Q90" s="120">
        <v>44485.0</v>
      </c>
      <c r="R90" s="120">
        <v>44486.0</v>
      </c>
      <c r="S90" s="120">
        <v>44487.0</v>
      </c>
      <c r="T90" s="120">
        <v>44488.0</v>
      </c>
      <c r="U90" s="120">
        <v>44489.0</v>
      </c>
      <c r="V90" s="120">
        <v>44490.0</v>
      </c>
      <c r="W90" s="120">
        <v>44491.0</v>
      </c>
      <c r="X90" s="120">
        <v>44492.0</v>
      </c>
      <c r="Y90" s="120">
        <v>44493.0</v>
      </c>
      <c r="Z90" s="120">
        <v>44494.0</v>
      </c>
      <c r="AA90" s="120">
        <v>44495.0</v>
      </c>
      <c r="AB90" s="120">
        <v>44496.0</v>
      </c>
      <c r="AC90" s="120">
        <v>44497.0</v>
      </c>
      <c r="AD90" s="120">
        <v>44498.0</v>
      </c>
      <c r="AE90" s="120">
        <v>44499.0</v>
      </c>
      <c r="AF90" s="120">
        <v>44500.0</v>
      </c>
    </row>
    <row r="91">
      <c r="A91" s="121" t="s">
        <v>93</v>
      </c>
      <c r="B91" s="122">
        <v>0.0</v>
      </c>
      <c r="C91" s="122">
        <v>0.0</v>
      </c>
      <c r="D91" s="122">
        <v>0.0</v>
      </c>
      <c r="E91" s="122">
        <v>0.0</v>
      </c>
      <c r="F91" s="122">
        <v>0.0</v>
      </c>
      <c r="G91" s="122">
        <v>1.0</v>
      </c>
      <c r="H91" s="122">
        <v>0.0</v>
      </c>
      <c r="I91" s="122">
        <v>0.0</v>
      </c>
      <c r="J91" s="122">
        <v>0.0</v>
      </c>
      <c r="K91" s="122">
        <v>0.0</v>
      </c>
      <c r="L91" s="122">
        <v>0.0</v>
      </c>
      <c r="M91" s="122">
        <v>1.0</v>
      </c>
      <c r="N91" s="122">
        <v>0.0</v>
      </c>
      <c r="O91" s="122">
        <v>0.0</v>
      </c>
      <c r="P91" s="122">
        <v>0.0</v>
      </c>
      <c r="Q91" s="122">
        <v>0.0</v>
      </c>
      <c r="R91" s="122">
        <v>0.0</v>
      </c>
      <c r="S91" s="122">
        <v>0.0</v>
      </c>
      <c r="T91" s="122">
        <v>0.0</v>
      </c>
      <c r="U91" s="122">
        <v>1.0</v>
      </c>
      <c r="V91" s="122">
        <v>0.0</v>
      </c>
      <c r="W91" s="122">
        <v>0.0</v>
      </c>
      <c r="X91" s="122">
        <v>0.0</v>
      </c>
      <c r="Y91" s="122">
        <v>0.0</v>
      </c>
      <c r="Z91" s="122">
        <v>0.0</v>
      </c>
      <c r="AA91" s="122">
        <v>0.0</v>
      </c>
      <c r="AB91" s="122">
        <v>0.0</v>
      </c>
      <c r="AC91" s="122">
        <v>0.0</v>
      </c>
      <c r="AD91" s="122">
        <v>0.0</v>
      </c>
      <c r="AE91" s="122">
        <v>0.0</v>
      </c>
      <c r="AF91" s="122">
        <v>0.0</v>
      </c>
    </row>
    <row r="92">
      <c r="A92" s="121" t="s">
        <v>94</v>
      </c>
      <c r="B92" s="123" t="str">
        <f t="shared" ref="B92:AE92" si="17">IFERROR(B93/B91,"-")</f>
        <v>-</v>
      </c>
      <c r="C92" s="123" t="str">
        <f t="shared" si="17"/>
        <v>-</v>
      </c>
      <c r="D92" s="123" t="str">
        <f t="shared" si="17"/>
        <v>-</v>
      </c>
      <c r="E92" s="123" t="str">
        <f t="shared" si="17"/>
        <v>-</v>
      </c>
      <c r="F92" s="123" t="str">
        <f t="shared" si="17"/>
        <v>-</v>
      </c>
      <c r="G92" s="123">
        <f t="shared" si="17"/>
        <v>0</v>
      </c>
      <c r="H92" s="123" t="str">
        <f t="shared" si="17"/>
        <v>-</v>
      </c>
      <c r="I92" s="123" t="str">
        <f t="shared" si="17"/>
        <v>-</v>
      </c>
      <c r="J92" s="123" t="str">
        <f t="shared" si="17"/>
        <v>-</v>
      </c>
      <c r="K92" s="123" t="str">
        <f t="shared" si="17"/>
        <v>-</v>
      </c>
      <c r="L92" s="123" t="str">
        <f t="shared" si="17"/>
        <v>-</v>
      </c>
      <c r="M92" s="123">
        <f t="shared" si="17"/>
        <v>1604.15</v>
      </c>
      <c r="N92" s="123" t="str">
        <f t="shared" si="17"/>
        <v>-</v>
      </c>
      <c r="O92" s="123" t="str">
        <f t="shared" si="17"/>
        <v>-</v>
      </c>
      <c r="P92" s="123" t="str">
        <f t="shared" si="17"/>
        <v>-</v>
      </c>
      <c r="Q92" s="123" t="str">
        <f t="shared" si="17"/>
        <v>-</v>
      </c>
      <c r="R92" s="123" t="str">
        <f t="shared" si="17"/>
        <v>-</v>
      </c>
      <c r="S92" s="123" t="str">
        <f t="shared" si="17"/>
        <v>-</v>
      </c>
      <c r="T92" s="123" t="str">
        <f t="shared" si="17"/>
        <v>-</v>
      </c>
      <c r="U92" s="123">
        <f t="shared" si="17"/>
        <v>1604.15</v>
      </c>
      <c r="V92" s="123" t="str">
        <f t="shared" si="17"/>
        <v>-</v>
      </c>
      <c r="W92" s="123" t="str">
        <f t="shared" si="17"/>
        <v>-</v>
      </c>
      <c r="X92" s="123" t="str">
        <f t="shared" si="17"/>
        <v>-</v>
      </c>
      <c r="Y92" s="123" t="str">
        <f t="shared" si="17"/>
        <v>-</v>
      </c>
      <c r="Z92" s="123" t="str">
        <f t="shared" si="17"/>
        <v>-</v>
      </c>
      <c r="AA92" s="123" t="str">
        <f t="shared" si="17"/>
        <v>-</v>
      </c>
      <c r="AB92" s="123" t="str">
        <f t="shared" si="17"/>
        <v>-</v>
      </c>
      <c r="AC92" s="123" t="str">
        <f t="shared" si="17"/>
        <v>-</v>
      </c>
      <c r="AD92" s="123" t="str">
        <f t="shared" si="17"/>
        <v>-</v>
      </c>
      <c r="AE92" s="123" t="str">
        <f t="shared" si="17"/>
        <v>-</v>
      </c>
      <c r="AF92" s="123"/>
    </row>
    <row r="93">
      <c r="A93" s="121" t="s">
        <v>99</v>
      </c>
      <c r="B93" s="122">
        <v>0.0</v>
      </c>
      <c r="C93" s="122">
        <v>0.0</v>
      </c>
      <c r="D93" s="122">
        <v>0.0</v>
      </c>
      <c r="E93" s="122">
        <v>0.0</v>
      </c>
      <c r="F93" s="122">
        <v>0.0</v>
      </c>
      <c r="G93" s="122">
        <v>0.0</v>
      </c>
      <c r="H93" s="122">
        <v>0.0</v>
      </c>
      <c r="I93" s="122">
        <v>0.0</v>
      </c>
      <c r="J93" s="122">
        <v>0.0</v>
      </c>
      <c r="K93" s="122">
        <v>0.0</v>
      </c>
      <c r="L93" s="122">
        <v>3208.3</v>
      </c>
      <c r="M93" s="122">
        <v>1604.15</v>
      </c>
      <c r="N93" s="122">
        <v>0.0</v>
      </c>
      <c r="O93" s="122">
        <v>0.0</v>
      </c>
      <c r="P93" s="122">
        <v>0.0</v>
      </c>
      <c r="Q93" s="122">
        <v>0.0</v>
      </c>
      <c r="R93" s="122">
        <v>0.0</v>
      </c>
      <c r="S93" s="122">
        <v>1604.15</v>
      </c>
      <c r="T93" s="122">
        <v>0.0</v>
      </c>
      <c r="U93" s="122">
        <v>1604.15</v>
      </c>
      <c r="V93" s="122">
        <v>0.0</v>
      </c>
      <c r="W93" s="122">
        <v>0.0</v>
      </c>
      <c r="X93" s="122">
        <v>0.0</v>
      </c>
      <c r="Y93" s="122">
        <v>0.0</v>
      </c>
      <c r="Z93" s="122">
        <v>0.0</v>
      </c>
      <c r="AA93" s="122">
        <v>0.0</v>
      </c>
      <c r="AB93" s="122">
        <v>0.0</v>
      </c>
      <c r="AC93" s="122">
        <v>0.0</v>
      </c>
      <c r="AD93" s="122">
        <v>0.0</v>
      </c>
      <c r="AE93" s="122">
        <v>0.0</v>
      </c>
      <c r="AF93" s="122">
        <v>0.0</v>
      </c>
    </row>
    <row r="94">
      <c r="A94" s="35"/>
      <c r="B94" s="53"/>
      <c r="C94" s="53"/>
      <c r="D94" s="53"/>
      <c r="E94" s="53"/>
      <c r="F94" s="55"/>
      <c r="G94" s="55"/>
      <c r="H94" s="54"/>
      <c r="I94" s="54"/>
      <c r="J94" s="54"/>
      <c r="K94" s="54"/>
      <c r="L94" s="54"/>
    </row>
    <row r="95">
      <c r="A95" s="26" t="s">
        <v>100</v>
      </c>
      <c r="B95" s="27" t="s">
        <v>1</v>
      </c>
      <c r="C95" s="28" t="s">
        <v>2</v>
      </c>
      <c r="D95" s="29" t="s">
        <v>3</v>
      </c>
      <c r="E95" s="28" t="s">
        <v>4</v>
      </c>
      <c r="F95" s="29" t="s">
        <v>5</v>
      </c>
      <c r="G95" s="29" t="s">
        <v>6</v>
      </c>
      <c r="H95" s="28" t="s">
        <v>7</v>
      </c>
      <c r="I95" s="28" t="s">
        <v>8</v>
      </c>
      <c r="J95" s="29" t="s">
        <v>10</v>
      </c>
      <c r="K95" s="16"/>
      <c r="L95" s="51"/>
    </row>
    <row r="96">
      <c r="A96" s="112" t="s">
        <v>93</v>
      </c>
      <c r="B96" s="113">
        <v>85.0</v>
      </c>
      <c r="C96" s="78">
        <f>SUM(B100:AF100)+2</f>
        <v>79</v>
      </c>
      <c r="D96" s="93">
        <f>C96/B96</f>
        <v>0.9294117647</v>
      </c>
      <c r="E96" s="91">
        <f>B96-C96</f>
        <v>6</v>
      </c>
      <c r="F96" s="78"/>
      <c r="G96" s="124"/>
      <c r="H96" s="78"/>
      <c r="I96" s="114"/>
      <c r="J96" s="115">
        <f>C96/31</f>
        <v>2.548387097</v>
      </c>
      <c r="K96" s="79"/>
      <c r="L96" s="79"/>
    </row>
    <row r="97">
      <c r="A97" s="112" t="s">
        <v>94</v>
      </c>
      <c r="B97" s="78">
        <f>B98/B96</f>
        <v>705.8823529</v>
      </c>
      <c r="C97" s="132">
        <f>IFERROR(C98/C96,"-")</f>
        <v>1164.711139</v>
      </c>
      <c r="D97" s="93"/>
      <c r="E97" s="79"/>
      <c r="F97" s="78"/>
      <c r="G97" s="93"/>
      <c r="H97" s="79"/>
      <c r="I97" s="78"/>
      <c r="J97" s="116"/>
      <c r="K97" s="79"/>
      <c r="L97" s="79"/>
    </row>
    <row r="98">
      <c r="A98" s="112" t="s">
        <v>95</v>
      </c>
      <c r="B98" s="113">
        <v>60000.0</v>
      </c>
      <c r="C98" s="78">
        <f>SUM(B102:AF102)</f>
        <v>92012.18</v>
      </c>
      <c r="D98" s="93">
        <f>C98/B98</f>
        <v>1.533536333</v>
      </c>
      <c r="E98" s="78">
        <f>B98-C98</f>
        <v>-32012.18</v>
      </c>
      <c r="F98" s="78"/>
      <c r="G98" s="124"/>
      <c r="H98" s="78"/>
      <c r="I98" s="78"/>
      <c r="J98" s="91">
        <f>C98/31</f>
        <v>2968.134839</v>
      </c>
      <c r="K98" s="79"/>
      <c r="L98" s="79"/>
    </row>
    <row r="99">
      <c r="A99" s="119" t="s">
        <v>101</v>
      </c>
      <c r="B99" s="120">
        <v>44470.0</v>
      </c>
      <c r="C99" s="120">
        <v>44471.0</v>
      </c>
      <c r="D99" s="120">
        <v>44472.0</v>
      </c>
      <c r="E99" s="120">
        <v>44473.0</v>
      </c>
      <c r="F99" s="120">
        <v>44474.0</v>
      </c>
      <c r="G99" s="120">
        <v>44475.0</v>
      </c>
      <c r="H99" s="120">
        <v>44476.0</v>
      </c>
      <c r="I99" s="120">
        <v>44477.0</v>
      </c>
      <c r="J99" s="120">
        <v>44478.0</v>
      </c>
      <c r="K99" s="120">
        <v>44479.0</v>
      </c>
      <c r="L99" s="120">
        <v>44480.0</v>
      </c>
      <c r="M99" s="120">
        <v>44481.0</v>
      </c>
      <c r="N99" s="120">
        <v>44482.0</v>
      </c>
      <c r="O99" s="120">
        <v>44483.0</v>
      </c>
      <c r="P99" s="120">
        <v>44484.0</v>
      </c>
      <c r="Q99" s="120">
        <v>44485.0</v>
      </c>
      <c r="R99" s="120">
        <v>44486.0</v>
      </c>
      <c r="S99" s="120">
        <v>44487.0</v>
      </c>
      <c r="T99" s="120">
        <v>44488.0</v>
      </c>
      <c r="U99" s="120">
        <v>44489.0</v>
      </c>
      <c r="V99" s="120">
        <v>44490.0</v>
      </c>
      <c r="W99" s="120">
        <v>44491.0</v>
      </c>
      <c r="X99" s="120">
        <v>44492.0</v>
      </c>
      <c r="Y99" s="120">
        <v>44493.0</v>
      </c>
      <c r="Z99" s="120">
        <v>44494.0</v>
      </c>
      <c r="AA99" s="120">
        <v>44495.0</v>
      </c>
      <c r="AB99" s="120">
        <v>44496.0</v>
      </c>
      <c r="AC99" s="120">
        <v>44497.0</v>
      </c>
      <c r="AD99" s="120">
        <v>44498.0</v>
      </c>
      <c r="AE99" s="120">
        <v>44499.0</v>
      </c>
      <c r="AF99" s="120">
        <v>44500.0</v>
      </c>
    </row>
    <row r="100">
      <c r="A100" s="121" t="s">
        <v>93</v>
      </c>
      <c r="B100" s="122">
        <v>1.0</v>
      </c>
      <c r="C100" s="122">
        <v>2.0</v>
      </c>
      <c r="D100" s="122">
        <v>1.0</v>
      </c>
      <c r="E100" s="122">
        <v>5.0</v>
      </c>
      <c r="F100" s="122">
        <v>2.0</v>
      </c>
      <c r="G100" s="122">
        <v>2.0</v>
      </c>
      <c r="H100" s="122">
        <v>1.0</v>
      </c>
      <c r="I100" s="122">
        <v>3.0</v>
      </c>
      <c r="J100" s="122">
        <v>0.0</v>
      </c>
      <c r="K100" s="122">
        <v>4.0</v>
      </c>
      <c r="L100" s="122">
        <v>4.0</v>
      </c>
      <c r="M100" s="122">
        <v>2.0</v>
      </c>
      <c r="N100" s="122">
        <v>5.0</v>
      </c>
      <c r="O100" s="122">
        <v>4.0</v>
      </c>
      <c r="P100" s="122">
        <v>1.0</v>
      </c>
      <c r="Q100" s="122">
        <v>5.0</v>
      </c>
      <c r="R100" s="122">
        <v>0.0</v>
      </c>
      <c r="S100" s="122">
        <v>2.0</v>
      </c>
      <c r="T100" s="122">
        <v>2.0</v>
      </c>
      <c r="U100" s="122">
        <v>4.0</v>
      </c>
      <c r="V100" s="122">
        <v>1.0</v>
      </c>
      <c r="W100" s="122">
        <v>2.0</v>
      </c>
      <c r="X100" s="122">
        <v>1.0</v>
      </c>
      <c r="Y100" s="122">
        <v>1.0</v>
      </c>
      <c r="Z100" s="122">
        <v>4.0</v>
      </c>
      <c r="AA100" s="122">
        <v>2.0</v>
      </c>
      <c r="AB100" s="122">
        <v>6.0</v>
      </c>
      <c r="AC100" s="122">
        <v>4.0</v>
      </c>
      <c r="AD100" s="122">
        <v>1.0</v>
      </c>
      <c r="AE100" s="122">
        <v>1.0</v>
      </c>
      <c r="AF100" s="122">
        <v>4.0</v>
      </c>
    </row>
    <row r="101">
      <c r="A101" s="121" t="s">
        <v>94</v>
      </c>
      <c r="B101" s="123">
        <f t="shared" ref="B101:AF101" si="18">IFERROR(B102/B100,"-")</f>
        <v>1379.22</v>
      </c>
      <c r="C101" s="123">
        <f t="shared" si="18"/>
        <v>445.745</v>
      </c>
      <c r="D101" s="123">
        <f t="shared" si="18"/>
        <v>1155.36</v>
      </c>
      <c r="E101" s="123">
        <f t="shared" si="18"/>
        <v>476.546</v>
      </c>
      <c r="F101" s="123">
        <f t="shared" si="18"/>
        <v>1165.75</v>
      </c>
      <c r="G101" s="123">
        <f t="shared" si="18"/>
        <v>1013.09</v>
      </c>
      <c r="H101" s="123">
        <f t="shared" si="18"/>
        <v>1882.36</v>
      </c>
      <c r="I101" s="123">
        <f t="shared" si="18"/>
        <v>727.1733333</v>
      </c>
      <c r="J101" s="123" t="str">
        <f t="shared" si="18"/>
        <v>-</v>
      </c>
      <c r="K101" s="123">
        <f t="shared" si="18"/>
        <v>912.2925</v>
      </c>
      <c r="L101" s="123">
        <f t="shared" si="18"/>
        <v>2129.9375</v>
      </c>
      <c r="M101" s="123">
        <f t="shared" si="18"/>
        <v>1654.1</v>
      </c>
      <c r="N101" s="123">
        <f t="shared" si="18"/>
        <v>1047.002</v>
      </c>
      <c r="O101" s="123">
        <f t="shared" si="18"/>
        <v>1046.845</v>
      </c>
      <c r="P101" s="123">
        <f t="shared" si="18"/>
        <v>2261.65</v>
      </c>
      <c r="Q101" s="123">
        <f t="shared" si="18"/>
        <v>550.644</v>
      </c>
      <c r="R101" s="123" t="str">
        <f t="shared" si="18"/>
        <v>-</v>
      </c>
      <c r="S101" s="123">
        <f t="shared" si="18"/>
        <v>3042.515</v>
      </c>
      <c r="T101" s="123">
        <f t="shared" si="18"/>
        <v>2298.895</v>
      </c>
      <c r="U101" s="123">
        <f t="shared" si="18"/>
        <v>880.315</v>
      </c>
      <c r="V101" s="123">
        <f t="shared" si="18"/>
        <v>2804.35</v>
      </c>
      <c r="W101" s="123">
        <f t="shared" si="18"/>
        <v>1356.46</v>
      </c>
      <c r="X101" s="123">
        <f t="shared" si="18"/>
        <v>2489.03</v>
      </c>
      <c r="Y101" s="123">
        <f t="shared" si="18"/>
        <v>1405.36</v>
      </c>
      <c r="Z101" s="123">
        <f t="shared" si="18"/>
        <v>739.21</v>
      </c>
      <c r="AA101" s="123">
        <f t="shared" si="18"/>
        <v>1623.61</v>
      </c>
      <c r="AB101" s="123">
        <f t="shared" si="18"/>
        <v>522.33</v>
      </c>
      <c r="AC101" s="123">
        <f t="shared" si="18"/>
        <v>768.87</v>
      </c>
      <c r="AD101" s="123">
        <f t="shared" si="18"/>
        <v>1929.26</v>
      </c>
      <c r="AE101" s="123">
        <f t="shared" si="18"/>
        <v>1188.38</v>
      </c>
      <c r="AF101" s="123">
        <f t="shared" si="18"/>
        <v>396.5075</v>
      </c>
    </row>
    <row r="102">
      <c r="A102" s="121" t="s">
        <v>99</v>
      </c>
      <c r="B102" s="122">
        <v>1379.22</v>
      </c>
      <c r="C102" s="122">
        <v>891.49</v>
      </c>
      <c r="D102" s="122">
        <v>1155.36</v>
      </c>
      <c r="E102" s="122">
        <v>2382.73</v>
      </c>
      <c r="F102" s="122">
        <v>2331.5</v>
      </c>
      <c r="G102" s="122">
        <v>2026.18</v>
      </c>
      <c r="H102" s="122">
        <v>1882.36</v>
      </c>
      <c r="I102" s="122">
        <v>2181.52</v>
      </c>
      <c r="J102" s="122">
        <v>2059.99</v>
      </c>
      <c r="K102" s="122">
        <v>3649.17</v>
      </c>
      <c r="L102" s="122">
        <v>8519.75</v>
      </c>
      <c r="M102" s="122">
        <v>3308.2</v>
      </c>
      <c r="N102" s="122">
        <v>5235.01</v>
      </c>
      <c r="O102" s="122">
        <v>4187.38</v>
      </c>
      <c r="P102" s="122">
        <v>2261.65</v>
      </c>
      <c r="Q102" s="122">
        <v>2753.22</v>
      </c>
      <c r="R102" s="122">
        <v>5074.52</v>
      </c>
      <c r="S102" s="122">
        <v>6085.03</v>
      </c>
      <c r="T102" s="122">
        <v>4597.79</v>
      </c>
      <c r="U102" s="122">
        <v>3521.26</v>
      </c>
      <c r="V102" s="122">
        <v>2804.35</v>
      </c>
      <c r="W102" s="122">
        <v>2712.92</v>
      </c>
      <c r="X102" s="122">
        <v>2489.03</v>
      </c>
      <c r="Y102" s="122">
        <v>1405.36</v>
      </c>
      <c r="Z102" s="122">
        <v>2956.84</v>
      </c>
      <c r="AA102" s="122">
        <v>3247.22</v>
      </c>
      <c r="AB102" s="122">
        <v>3133.98</v>
      </c>
      <c r="AC102" s="122">
        <v>3075.48</v>
      </c>
      <c r="AD102" s="122">
        <v>1929.26</v>
      </c>
      <c r="AE102" s="122">
        <v>1188.38</v>
      </c>
      <c r="AF102" s="122">
        <v>1586.03</v>
      </c>
    </row>
    <row r="103">
      <c r="A103" s="105"/>
      <c r="B103" s="9"/>
      <c r="C103" s="9"/>
      <c r="D103" s="10"/>
      <c r="E103" s="9"/>
      <c r="F103" s="9"/>
      <c r="G103" s="10"/>
      <c r="H103" s="9"/>
      <c r="I103" s="106"/>
      <c r="J103" s="46"/>
      <c r="K103" s="107"/>
      <c r="L103" s="136"/>
      <c r="M103" s="91"/>
      <c r="N103" s="108"/>
    </row>
    <row r="104">
      <c r="A104" s="105"/>
      <c r="B104" s="9"/>
      <c r="C104" s="9"/>
      <c r="D104" s="10"/>
      <c r="E104" s="9"/>
      <c r="F104" s="9"/>
      <c r="G104" s="10"/>
      <c r="H104" s="9"/>
      <c r="I104" s="106"/>
      <c r="J104" s="46"/>
      <c r="K104" s="107"/>
      <c r="L104" s="136"/>
      <c r="M104" s="91"/>
      <c r="N104" s="108"/>
    </row>
    <row r="105">
      <c r="A105" s="105"/>
      <c r="B105" s="9"/>
      <c r="C105" s="9"/>
      <c r="D105" s="10"/>
      <c r="E105" s="9"/>
      <c r="F105" s="9"/>
      <c r="G105" s="10"/>
      <c r="H105" s="9"/>
      <c r="I105" s="106"/>
      <c r="J105" s="46"/>
      <c r="K105" s="107"/>
      <c r="L105" s="136"/>
      <c r="M105" s="91"/>
      <c r="N105" s="108"/>
    </row>
    <row r="106">
      <c r="A106" s="100" t="s">
        <v>104</v>
      </c>
      <c r="B106" s="101" t="s">
        <v>1</v>
      </c>
      <c r="C106" s="102" t="s">
        <v>2</v>
      </c>
      <c r="D106" s="127" t="s">
        <v>3</v>
      </c>
      <c r="E106" s="102" t="s">
        <v>4</v>
      </c>
      <c r="F106" s="103" t="s">
        <v>5</v>
      </c>
      <c r="G106" s="103" t="s">
        <v>6</v>
      </c>
      <c r="H106" s="104" t="s">
        <v>7</v>
      </c>
      <c r="I106" s="104" t="s">
        <v>8</v>
      </c>
      <c r="J106" s="103" t="s">
        <v>10</v>
      </c>
      <c r="K106" s="107"/>
      <c r="L106" s="136"/>
      <c r="M106" s="91"/>
      <c r="N106" s="108"/>
    </row>
    <row r="107">
      <c r="A107" s="105" t="s">
        <v>93</v>
      </c>
      <c r="B107" s="9">
        <f t="shared" ref="B107:C107" si="19">B113+B131</f>
        <v>250</v>
      </c>
      <c r="C107" s="9">
        <f t="shared" si="19"/>
        <v>213</v>
      </c>
      <c r="D107" s="10">
        <f>C107/B107</f>
        <v>0.852</v>
      </c>
      <c r="E107" s="9">
        <f>B107-C107</f>
        <v>37</v>
      </c>
      <c r="F107" s="9"/>
      <c r="G107" s="10"/>
      <c r="H107" s="9"/>
      <c r="I107" s="106"/>
      <c r="J107" s="46">
        <f>C107/30</f>
        <v>7.1</v>
      </c>
      <c r="K107" s="107"/>
      <c r="L107" s="136"/>
      <c r="M107" s="91"/>
      <c r="N107" s="108"/>
    </row>
    <row r="108">
      <c r="A108" s="105" t="s">
        <v>94</v>
      </c>
      <c r="B108" s="8">
        <f t="shared" ref="B108:C108" si="20">B109/B107</f>
        <v>728</v>
      </c>
      <c r="C108" s="9">
        <f t="shared" si="20"/>
        <v>750.7482629</v>
      </c>
      <c r="D108" s="10"/>
      <c r="E108" s="109"/>
      <c r="F108" s="9"/>
      <c r="G108" s="10"/>
      <c r="H108" s="109"/>
      <c r="I108" s="109"/>
      <c r="J108" s="107"/>
      <c r="K108" s="107"/>
      <c r="M108" s="91"/>
      <c r="N108" s="108"/>
    </row>
    <row r="109">
      <c r="A109" s="105" t="s">
        <v>95</v>
      </c>
      <c r="B109" s="9">
        <f t="shared" ref="B109:C109" si="21">B115+B133</f>
        <v>182000</v>
      </c>
      <c r="C109" s="9">
        <f t="shared" si="21"/>
        <v>159909.38</v>
      </c>
      <c r="D109" s="10">
        <f>C109/B109</f>
        <v>0.878622967</v>
      </c>
      <c r="E109" s="9">
        <f>B109-C109</f>
        <v>22090.62</v>
      </c>
      <c r="F109" s="9"/>
      <c r="G109" s="10"/>
      <c r="H109" s="9"/>
      <c r="I109" s="19"/>
      <c r="J109" s="19">
        <f>C109/30</f>
        <v>5330.312667</v>
      </c>
      <c r="K109" s="107"/>
    </row>
    <row r="110">
      <c r="L110" s="137"/>
    </row>
    <row r="111">
      <c r="A111" s="110" t="s">
        <v>96</v>
      </c>
      <c r="B111" s="22"/>
      <c r="C111" s="23"/>
      <c r="D111" s="23"/>
      <c r="E111" s="23"/>
      <c r="F111" s="23"/>
      <c r="G111" s="23"/>
      <c r="H111" s="23"/>
      <c r="I111" s="23"/>
      <c r="J111" s="23"/>
      <c r="K111" s="24"/>
      <c r="L111" s="24"/>
    </row>
    <row r="112">
      <c r="A112" s="26" t="s">
        <v>109</v>
      </c>
      <c r="B112" s="27" t="s">
        <v>1</v>
      </c>
      <c r="C112" s="28" t="s">
        <v>2</v>
      </c>
      <c r="D112" s="29" t="s">
        <v>3</v>
      </c>
      <c r="E112" s="28" t="s">
        <v>4</v>
      </c>
      <c r="F112" s="29" t="s">
        <v>5</v>
      </c>
      <c r="G112" s="29" t="s">
        <v>6</v>
      </c>
      <c r="H112" s="28" t="s">
        <v>7</v>
      </c>
      <c r="I112" s="28" t="s">
        <v>8</v>
      </c>
      <c r="J112" s="29" t="s">
        <v>10</v>
      </c>
      <c r="K112" s="16"/>
      <c r="L112" s="111"/>
    </row>
    <row r="113">
      <c r="A113" s="112" t="s">
        <v>93</v>
      </c>
      <c r="B113" s="113">
        <v>165.0</v>
      </c>
      <c r="C113" s="78">
        <f>SUM(B117:AE117)+2+SUM(B126:AE126)</f>
        <v>135</v>
      </c>
      <c r="D113" s="93">
        <f>C113/B113</f>
        <v>0.8181818182</v>
      </c>
      <c r="E113" s="91">
        <f>B113-C113</f>
        <v>30</v>
      </c>
      <c r="F113" s="78"/>
      <c r="G113" s="93"/>
      <c r="H113" s="78"/>
      <c r="I113" s="114"/>
      <c r="J113" s="115">
        <f>C113/30</f>
        <v>4.5</v>
      </c>
      <c r="K113" s="116"/>
      <c r="L113" s="13"/>
    </row>
    <row r="114">
      <c r="A114" s="112" t="s">
        <v>94</v>
      </c>
      <c r="B114" s="78">
        <f t="shared" ref="B114:C114" si="22">B115/B113</f>
        <v>787.8787879</v>
      </c>
      <c r="C114" s="78">
        <f t="shared" si="22"/>
        <v>963.373037</v>
      </c>
      <c r="D114" s="93"/>
      <c r="E114" s="79"/>
      <c r="F114" s="78"/>
      <c r="G114" s="93"/>
      <c r="H114" s="116"/>
      <c r="I114" s="117"/>
      <c r="J114" s="116"/>
      <c r="K114" s="116"/>
      <c r="L114" s="13"/>
    </row>
    <row r="115">
      <c r="A115" s="112" t="s">
        <v>95</v>
      </c>
      <c r="B115" s="113">
        <v>130000.0</v>
      </c>
      <c r="C115" s="78">
        <f>SUM(B119:AE119)-3358.12+SUM(B128:AE128)+1571.03</f>
        <v>130055.36</v>
      </c>
      <c r="D115" s="93">
        <f>C115/B115</f>
        <v>1.000425846</v>
      </c>
      <c r="E115" s="78">
        <f>B115-C115</f>
        <v>-55.36</v>
      </c>
      <c r="F115" s="78"/>
      <c r="G115" s="93"/>
      <c r="H115" s="78"/>
      <c r="I115" s="78"/>
      <c r="J115" s="91">
        <f>C115/30</f>
        <v>4335.178667</v>
      </c>
      <c r="K115" s="118"/>
      <c r="L115" s="13"/>
    </row>
    <row r="116">
      <c r="A116" s="119" t="s">
        <v>98</v>
      </c>
      <c r="B116" s="128">
        <v>44440.0</v>
      </c>
      <c r="C116" s="128">
        <v>44441.0</v>
      </c>
      <c r="D116" s="128">
        <v>44442.0</v>
      </c>
      <c r="E116" s="128">
        <v>44443.0</v>
      </c>
      <c r="F116" s="128">
        <v>44444.0</v>
      </c>
      <c r="G116" s="128">
        <v>44445.0</v>
      </c>
      <c r="H116" s="128">
        <v>44446.0</v>
      </c>
      <c r="I116" s="128">
        <v>44447.0</v>
      </c>
      <c r="J116" s="128">
        <v>44448.0</v>
      </c>
      <c r="K116" s="128">
        <v>44449.0</v>
      </c>
      <c r="L116" s="128">
        <v>44450.0</v>
      </c>
      <c r="M116" s="128">
        <v>44451.0</v>
      </c>
      <c r="N116" s="128">
        <v>44452.0</v>
      </c>
      <c r="O116" s="128">
        <v>44453.0</v>
      </c>
      <c r="P116" s="128">
        <v>44454.0</v>
      </c>
      <c r="Q116" s="128">
        <v>44455.0</v>
      </c>
      <c r="R116" s="128">
        <v>44456.0</v>
      </c>
      <c r="S116" s="128">
        <v>44457.0</v>
      </c>
      <c r="T116" s="128">
        <v>44458.0</v>
      </c>
      <c r="U116" s="128">
        <v>44459.0</v>
      </c>
      <c r="V116" s="128">
        <v>44460.0</v>
      </c>
      <c r="W116" s="128">
        <v>44461.0</v>
      </c>
      <c r="X116" s="128">
        <v>44462.0</v>
      </c>
      <c r="Y116" s="128">
        <v>44463.0</v>
      </c>
      <c r="Z116" s="128">
        <v>44464.0</v>
      </c>
      <c r="AA116" s="128">
        <v>44465.0</v>
      </c>
      <c r="AB116" s="128">
        <v>44466.0</v>
      </c>
      <c r="AC116" s="128">
        <v>44467.0</v>
      </c>
      <c r="AD116" s="128">
        <v>44468.0</v>
      </c>
      <c r="AE116" s="128">
        <v>44469.0</v>
      </c>
      <c r="AF116" s="128"/>
    </row>
    <row r="117">
      <c r="A117" s="121" t="s">
        <v>93</v>
      </c>
      <c r="B117" s="122">
        <v>5.0</v>
      </c>
      <c r="C117" s="122">
        <v>3.0</v>
      </c>
      <c r="D117" s="122">
        <v>7.0</v>
      </c>
      <c r="E117" s="122">
        <v>2.0</v>
      </c>
      <c r="F117" s="122">
        <v>3.0</v>
      </c>
      <c r="G117" s="122">
        <v>7.0</v>
      </c>
      <c r="H117" s="122">
        <v>3.0</v>
      </c>
      <c r="I117" s="122">
        <v>2.0</v>
      </c>
      <c r="J117" s="122">
        <v>6.0</v>
      </c>
      <c r="K117" s="122">
        <v>4.0</v>
      </c>
      <c r="L117" s="122">
        <v>5.0</v>
      </c>
      <c r="M117" s="122">
        <v>1.0</v>
      </c>
      <c r="N117" s="122">
        <v>7.0</v>
      </c>
      <c r="O117" s="122">
        <v>5.0</v>
      </c>
      <c r="P117" s="122">
        <v>3.0</v>
      </c>
      <c r="Q117" s="122">
        <v>6.0</v>
      </c>
      <c r="R117" s="122">
        <v>4.0</v>
      </c>
      <c r="S117" s="122">
        <v>4.0</v>
      </c>
      <c r="T117" s="122">
        <v>5.0</v>
      </c>
      <c r="U117" s="122">
        <v>3.0</v>
      </c>
      <c r="V117" s="122">
        <v>7.0</v>
      </c>
      <c r="W117" s="122">
        <v>5.0</v>
      </c>
      <c r="X117" s="122">
        <v>8.0</v>
      </c>
      <c r="Y117" s="122">
        <v>2.0</v>
      </c>
      <c r="Z117" s="122">
        <v>2.0</v>
      </c>
      <c r="AA117" s="122">
        <v>2.0</v>
      </c>
      <c r="AB117" s="122">
        <v>3.0</v>
      </c>
      <c r="AC117" s="122">
        <v>7.0</v>
      </c>
      <c r="AD117" s="122">
        <v>5.0</v>
      </c>
      <c r="AE117" s="122">
        <v>5.0</v>
      </c>
      <c r="AF117" s="122"/>
    </row>
    <row r="118">
      <c r="A118" s="121" t="s">
        <v>94</v>
      </c>
      <c r="B118" s="123">
        <f t="shared" ref="B118:AE118" si="23">IFERROR(B119/B117,"-")</f>
        <v>750.11</v>
      </c>
      <c r="C118" s="123">
        <f t="shared" si="23"/>
        <v>1351.78</v>
      </c>
      <c r="D118" s="123">
        <f t="shared" si="23"/>
        <v>552.4185714</v>
      </c>
      <c r="E118" s="123">
        <f t="shared" si="23"/>
        <v>1891.91</v>
      </c>
      <c r="F118" s="123">
        <f t="shared" si="23"/>
        <v>1268.703333</v>
      </c>
      <c r="G118" s="123">
        <f t="shared" si="23"/>
        <v>608.9685714</v>
      </c>
      <c r="H118" s="123">
        <f t="shared" si="23"/>
        <v>1449.073333</v>
      </c>
      <c r="I118" s="123">
        <f t="shared" si="23"/>
        <v>2300.345</v>
      </c>
      <c r="J118" s="123">
        <f t="shared" si="23"/>
        <v>705.365</v>
      </c>
      <c r="K118" s="123">
        <f t="shared" si="23"/>
        <v>1134.8925</v>
      </c>
      <c r="L118" s="123">
        <f t="shared" si="23"/>
        <v>700.97</v>
      </c>
      <c r="M118" s="123">
        <f t="shared" si="23"/>
        <v>2659.65</v>
      </c>
      <c r="N118" s="123">
        <f t="shared" si="23"/>
        <v>699.3528571</v>
      </c>
      <c r="O118" s="123">
        <f t="shared" si="23"/>
        <v>896.318</v>
      </c>
      <c r="P118" s="123">
        <f t="shared" si="23"/>
        <v>1423.803333</v>
      </c>
      <c r="Q118" s="123">
        <f t="shared" si="23"/>
        <v>763.785</v>
      </c>
      <c r="R118" s="123">
        <f t="shared" si="23"/>
        <v>1110.795</v>
      </c>
      <c r="S118" s="123">
        <f t="shared" si="23"/>
        <v>787.51</v>
      </c>
      <c r="T118" s="123">
        <f t="shared" si="23"/>
        <v>703.756</v>
      </c>
      <c r="U118" s="123">
        <f t="shared" si="23"/>
        <v>1456.393333</v>
      </c>
      <c r="V118" s="123">
        <f t="shared" si="23"/>
        <v>670.0128571</v>
      </c>
      <c r="W118" s="123">
        <f t="shared" si="23"/>
        <v>948.598</v>
      </c>
      <c r="X118" s="123">
        <f t="shared" si="23"/>
        <v>692.85125</v>
      </c>
      <c r="Y118" s="123">
        <f t="shared" si="23"/>
        <v>2201.28</v>
      </c>
      <c r="Z118" s="123">
        <f t="shared" si="23"/>
        <v>1309.65</v>
      </c>
      <c r="AA118" s="123">
        <f t="shared" si="23"/>
        <v>1312.715</v>
      </c>
      <c r="AB118" s="123">
        <f t="shared" si="23"/>
        <v>1589.28</v>
      </c>
      <c r="AC118" s="123">
        <f t="shared" si="23"/>
        <v>748.6814286</v>
      </c>
      <c r="AD118" s="123">
        <f t="shared" si="23"/>
        <v>1356.974</v>
      </c>
      <c r="AE118" s="123">
        <f t="shared" si="23"/>
        <v>1047.204</v>
      </c>
      <c r="AF118" s="123"/>
    </row>
    <row r="119">
      <c r="A119" s="121" t="s">
        <v>99</v>
      </c>
      <c r="B119" s="122">
        <v>3750.55</v>
      </c>
      <c r="C119" s="122">
        <v>4055.34</v>
      </c>
      <c r="D119" s="122">
        <v>3866.93</v>
      </c>
      <c r="E119" s="122">
        <v>3783.82</v>
      </c>
      <c r="F119" s="122">
        <v>3806.11</v>
      </c>
      <c r="G119" s="122">
        <v>4262.78</v>
      </c>
      <c r="H119" s="122">
        <v>4347.22</v>
      </c>
      <c r="I119" s="122">
        <v>4600.69</v>
      </c>
      <c r="J119" s="122">
        <v>4232.19</v>
      </c>
      <c r="K119" s="122">
        <v>4539.57</v>
      </c>
      <c r="L119" s="122">
        <v>3504.85</v>
      </c>
      <c r="M119" s="122">
        <v>2659.65</v>
      </c>
      <c r="N119" s="122">
        <v>4895.47</v>
      </c>
      <c r="O119" s="122">
        <v>4481.59</v>
      </c>
      <c r="P119" s="122">
        <v>4271.41</v>
      </c>
      <c r="Q119" s="122">
        <v>4582.71</v>
      </c>
      <c r="R119" s="122">
        <v>4443.18</v>
      </c>
      <c r="S119" s="122">
        <v>3150.04</v>
      </c>
      <c r="T119" s="122">
        <v>3518.78</v>
      </c>
      <c r="U119" s="122">
        <v>4369.18</v>
      </c>
      <c r="V119" s="122">
        <v>4690.09</v>
      </c>
      <c r="W119" s="122">
        <v>4742.99</v>
      </c>
      <c r="X119" s="122">
        <v>5542.81</v>
      </c>
      <c r="Y119" s="122">
        <v>4402.56</v>
      </c>
      <c r="Z119" s="122">
        <v>2619.3</v>
      </c>
      <c r="AA119" s="122">
        <v>2625.43</v>
      </c>
      <c r="AB119" s="122">
        <v>4767.84</v>
      </c>
      <c r="AC119" s="122">
        <v>5240.77</v>
      </c>
      <c r="AD119" s="122">
        <v>6784.87</v>
      </c>
      <c r="AE119" s="122">
        <v>5236.02</v>
      </c>
      <c r="AF119" s="122"/>
    </row>
    <row r="120">
      <c r="A120" s="51"/>
      <c r="B120" s="87"/>
      <c r="C120" s="85"/>
      <c r="D120" s="85"/>
      <c r="E120" s="85"/>
      <c r="F120" s="85"/>
      <c r="G120" s="85"/>
      <c r="H120" s="85"/>
      <c r="I120" s="85"/>
      <c r="J120" s="85"/>
      <c r="K120" s="51"/>
      <c r="L120" s="51"/>
    </row>
    <row r="121">
      <c r="A121" s="26" t="s">
        <v>106</v>
      </c>
      <c r="B121" s="27" t="s">
        <v>1</v>
      </c>
      <c r="C121" s="28" t="s">
        <v>2</v>
      </c>
      <c r="D121" s="29" t="s">
        <v>3</v>
      </c>
      <c r="E121" s="28" t="s">
        <v>4</v>
      </c>
      <c r="F121" s="29" t="s">
        <v>5</v>
      </c>
      <c r="G121" s="29" t="s">
        <v>6</v>
      </c>
      <c r="H121" s="28" t="s">
        <v>7</v>
      </c>
      <c r="I121" s="28" t="s">
        <v>8</v>
      </c>
      <c r="J121" s="29" t="s">
        <v>10</v>
      </c>
      <c r="K121" s="16"/>
      <c r="L121" s="51"/>
    </row>
    <row r="122">
      <c r="A122" s="112" t="s">
        <v>93</v>
      </c>
      <c r="B122" s="113">
        <v>5.0</v>
      </c>
      <c r="C122" s="78">
        <f>SUM(B126:AE126)</f>
        <v>2</v>
      </c>
      <c r="D122" s="93">
        <f>C122/B122</f>
        <v>0.4</v>
      </c>
      <c r="E122" s="91">
        <f>B122-C122</f>
        <v>3</v>
      </c>
      <c r="F122" s="78"/>
      <c r="G122" s="93"/>
      <c r="H122" s="78"/>
      <c r="I122" s="114"/>
      <c r="J122" s="115">
        <f>C122/30</f>
        <v>0.06666666667</v>
      </c>
      <c r="K122" s="13"/>
      <c r="L122" s="13"/>
    </row>
    <row r="123">
      <c r="A123" s="112" t="s">
        <v>94</v>
      </c>
      <c r="B123" s="113" t="s">
        <v>110</v>
      </c>
      <c r="C123" s="132">
        <f>IFERROR(C124/C122,"-")</f>
        <v>2819.37</v>
      </c>
      <c r="D123" s="93"/>
      <c r="E123" s="84"/>
      <c r="F123" s="132"/>
      <c r="H123" s="79"/>
      <c r="I123" s="78"/>
      <c r="J123" s="116"/>
      <c r="K123" s="13"/>
      <c r="L123" s="13"/>
    </row>
    <row r="124">
      <c r="A124" s="112" t="s">
        <v>95</v>
      </c>
      <c r="B124" s="113" t="s">
        <v>110</v>
      </c>
      <c r="C124" s="78">
        <f>SUM(B128:AE128)+1571.03</f>
        <v>5638.74</v>
      </c>
      <c r="D124" s="135"/>
      <c r="E124" s="78"/>
      <c r="F124" s="78"/>
      <c r="G124" s="136"/>
      <c r="H124" s="78"/>
      <c r="I124" s="114"/>
      <c r="J124" s="91">
        <f>C124/30</f>
        <v>187.958</v>
      </c>
      <c r="K124" s="87"/>
      <c r="L124" s="13"/>
    </row>
    <row r="125">
      <c r="A125" s="119" t="s">
        <v>108</v>
      </c>
      <c r="B125" s="128">
        <v>44440.0</v>
      </c>
      <c r="C125" s="128">
        <v>44441.0</v>
      </c>
      <c r="D125" s="128">
        <v>44442.0</v>
      </c>
      <c r="E125" s="128">
        <v>44443.0</v>
      </c>
      <c r="F125" s="128">
        <v>44444.0</v>
      </c>
      <c r="G125" s="128">
        <v>44445.0</v>
      </c>
      <c r="H125" s="128">
        <v>44446.0</v>
      </c>
      <c r="I125" s="128">
        <v>44447.0</v>
      </c>
      <c r="J125" s="128">
        <v>44448.0</v>
      </c>
      <c r="K125" s="128">
        <v>44449.0</v>
      </c>
      <c r="L125" s="128">
        <v>44450.0</v>
      </c>
      <c r="M125" s="128">
        <v>44451.0</v>
      </c>
      <c r="N125" s="128">
        <v>44452.0</v>
      </c>
      <c r="O125" s="128">
        <v>44453.0</v>
      </c>
      <c r="P125" s="128">
        <v>44454.0</v>
      </c>
      <c r="Q125" s="128">
        <v>44455.0</v>
      </c>
      <c r="R125" s="128">
        <v>44456.0</v>
      </c>
      <c r="S125" s="128">
        <v>44457.0</v>
      </c>
      <c r="T125" s="128">
        <v>44458.0</v>
      </c>
      <c r="U125" s="128">
        <v>44459.0</v>
      </c>
      <c r="V125" s="128">
        <v>44460.0</v>
      </c>
      <c r="W125" s="128">
        <v>44461.0</v>
      </c>
      <c r="X125" s="128">
        <v>44462.0</v>
      </c>
      <c r="Y125" s="128">
        <v>44463.0</v>
      </c>
      <c r="Z125" s="128">
        <v>44464.0</v>
      </c>
      <c r="AA125" s="128">
        <v>44465.0</v>
      </c>
      <c r="AB125" s="128">
        <v>44466.0</v>
      </c>
      <c r="AC125" s="128">
        <v>44467.0</v>
      </c>
      <c r="AD125" s="128">
        <v>44468.0</v>
      </c>
      <c r="AE125" s="128">
        <v>44469.0</v>
      </c>
      <c r="AF125" s="128"/>
    </row>
    <row r="126">
      <c r="A126" s="121" t="s">
        <v>93</v>
      </c>
      <c r="B126" s="122">
        <v>0.0</v>
      </c>
      <c r="C126" s="122">
        <v>0.0</v>
      </c>
      <c r="D126" s="122">
        <v>0.0</v>
      </c>
      <c r="E126" s="122">
        <v>0.0</v>
      </c>
      <c r="F126" s="122">
        <v>0.0</v>
      </c>
      <c r="G126" s="122">
        <v>0.0</v>
      </c>
      <c r="H126" s="122">
        <v>0.0</v>
      </c>
      <c r="I126" s="122">
        <v>0.0</v>
      </c>
      <c r="J126" s="122">
        <v>0.0</v>
      </c>
      <c r="K126" s="122">
        <v>0.0</v>
      </c>
      <c r="L126" s="122">
        <v>0.0</v>
      </c>
      <c r="M126" s="122">
        <v>0.0</v>
      </c>
      <c r="N126" s="122">
        <v>0.0</v>
      </c>
      <c r="O126" s="122">
        <v>0.0</v>
      </c>
      <c r="P126" s="122">
        <v>0.0</v>
      </c>
      <c r="Q126" s="122">
        <v>0.0</v>
      </c>
      <c r="R126" s="122">
        <v>0.0</v>
      </c>
      <c r="S126" s="122">
        <v>0.0</v>
      </c>
      <c r="T126" s="122">
        <v>1.0</v>
      </c>
      <c r="U126" s="122">
        <v>0.0</v>
      </c>
      <c r="V126" s="122">
        <v>0.0</v>
      </c>
      <c r="W126" s="122">
        <v>0.0</v>
      </c>
      <c r="X126" s="122">
        <v>0.0</v>
      </c>
      <c r="Y126" s="122">
        <v>0.0</v>
      </c>
      <c r="Z126" s="122">
        <v>0.0</v>
      </c>
      <c r="AA126" s="122">
        <v>0.0</v>
      </c>
      <c r="AB126" s="122">
        <v>0.0</v>
      </c>
      <c r="AC126" s="122">
        <v>1.0</v>
      </c>
      <c r="AD126" s="122">
        <v>0.0</v>
      </c>
      <c r="AE126" s="122">
        <v>0.0</v>
      </c>
      <c r="AF126" s="123"/>
    </row>
    <row r="127">
      <c r="A127" s="121" t="s">
        <v>94</v>
      </c>
      <c r="B127" s="123" t="str">
        <f t="shared" ref="B127:AE127" si="24">IFERROR(B128/B126,"-")</f>
        <v>-</v>
      </c>
      <c r="C127" s="123" t="str">
        <f t="shared" si="24"/>
        <v>-</v>
      </c>
      <c r="D127" s="123" t="str">
        <f t="shared" si="24"/>
        <v>-</v>
      </c>
      <c r="E127" s="123" t="str">
        <f t="shared" si="24"/>
        <v>-</v>
      </c>
      <c r="F127" s="123" t="str">
        <f t="shared" si="24"/>
        <v>-</v>
      </c>
      <c r="G127" s="123" t="str">
        <f t="shared" si="24"/>
        <v>-</v>
      </c>
      <c r="H127" s="123" t="str">
        <f t="shared" si="24"/>
        <v>-</v>
      </c>
      <c r="I127" s="123" t="str">
        <f t="shared" si="24"/>
        <v>-</v>
      </c>
      <c r="J127" s="123" t="str">
        <f t="shared" si="24"/>
        <v>-</v>
      </c>
      <c r="K127" s="123" t="str">
        <f t="shared" si="24"/>
        <v>-</v>
      </c>
      <c r="L127" s="123" t="str">
        <f t="shared" si="24"/>
        <v>-</v>
      </c>
      <c r="M127" s="123" t="str">
        <f t="shared" si="24"/>
        <v>-</v>
      </c>
      <c r="N127" s="123" t="str">
        <f t="shared" si="24"/>
        <v>-</v>
      </c>
      <c r="O127" s="123" t="str">
        <f t="shared" si="24"/>
        <v>-</v>
      </c>
      <c r="P127" s="123" t="str">
        <f t="shared" si="24"/>
        <v>-</v>
      </c>
      <c r="Q127" s="123" t="str">
        <f t="shared" si="24"/>
        <v>-</v>
      </c>
      <c r="R127" s="123" t="str">
        <f t="shared" si="24"/>
        <v>-</v>
      </c>
      <c r="S127" s="123" t="str">
        <f t="shared" si="24"/>
        <v>-</v>
      </c>
      <c r="T127" s="123">
        <f t="shared" si="24"/>
        <v>0</v>
      </c>
      <c r="U127" s="123" t="str">
        <f t="shared" si="24"/>
        <v>-</v>
      </c>
      <c r="V127" s="123" t="str">
        <f t="shared" si="24"/>
        <v>-</v>
      </c>
      <c r="W127" s="123" t="str">
        <f t="shared" si="24"/>
        <v>-</v>
      </c>
      <c r="X127" s="123" t="str">
        <f t="shared" si="24"/>
        <v>-</v>
      </c>
      <c r="Y127" s="123" t="str">
        <f t="shared" si="24"/>
        <v>-</v>
      </c>
      <c r="Z127" s="123" t="str">
        <f t="shared" si="24"/>
        <v>-</v>
      </c>
      <c r="AA127" s="123" t="str">
        <f t="shared" si="24"/>
        <v>-</v>
      </c>
      <c r="AB127" s="123" t="str">
        <f t="shared" si="24"/>
        <v>-</v>
      </c>
      <c r="AC127" s="123">
        <f t="shared" si="24"/>
        <v>0</v>
      </c>
      <c r="AD127" s="123" t="str">
        <f t="shared" si="24"/>
        <v>-</v>
      </c>
      <c r="AE127" s="123" t="str">
        <f t="shared" si="24"/>
        <v>-</v>
      </c>
      <c r="AF127" s="123"/>
    </row>
    <row r="128">
      <c r="A128" s="121" t="s">
        <v>99</v>
      </c>
      <c r="B128" s="122">
        <v>965.63</v>
      </c>
      <c r="C128" s="122">
        <v>555.26</v>
      </c>
      <c r="D128" s="122">
        <v>453.08</v>
      </c>
      <c r="E128" s="122">
        <v>456.48</v>
      </c>
      <c r="F128" s="122">
        <v>455.09</v>
      </c>
      <c r="G128" s="122">
        <v>537.62</v>
      </c>
      <c r="H128" s="122">
        <v>461.78</v>
      </c>
      <c r="I128" s="122">
        <v>182.77</v>
      </c>
      <c r="J128" s="122">
        <v>0.0</v>
      </c>
      <c r="K128" s="122">
        <v>0.0</v>
      </c>
      <c r="L128" s="122">
        <v>0.0</v>
      </c>
      <c r="M128" s="122">
        <v>0.0</v>
      </c>
      <c r="N128" s="122">
        <v>0.0</v>
      </c>
      <c r="O128" s="122">
        <v>0.0</v>
      </c>
      <c r="P128" s="122">
        <v>0.0</v>
      </c>
      <c r="Q128" s="122">
        <v>0.0</v>
      </c>
      <c r="R128" s="122">
        <v>0.0</v>
      </c>
      <c r="S128" s="122">
        <v>0.0</v>
      </c>
      <c r="T128" s="122">
        <v>0.0</v>
      </c>
      <c r="U128" s="122">
        <v>0.0</v>
      </c>
      <c r="V128" s="122">
        <v>0.0</v>
      </c>
      <c r="W128" s="122">
        <v>0.0</v>
      </c>
      <c r="X128" s="122">
        <v>0.0</v>
      </c>
      <c r="Y128" s="122">
        <v>0.0</v>
      </c>
      <c r="Z128" s="122">
        <v>0.0</v>
      </c>
      <c r="AA128" s="122">
        <v>0.0</v>
      </c>
      <c r="AB128" s="122">
        <v>0.0</v>
      </c>
      <c r="AC128" s="122">
        <v>0.0</v>
      </c>
      <c r="AD128" s="122">
        <v>0.0</v>
      </c>
      <c r="AE128" s="122">
        <v>0.0</v>
      </c>
      <c r="AF128" s="123"/>
    </row>
    <row r="129">
      <c r="A129" s="35"/>
      <c r="B129" s="53"/>
      <c r="C129" s="53"/>
      <c r="D129" s="53"/>
      <c r="E129" s="53"/>
      <c r="F129" s="55"/>
      <c r="G129" s="55"/>
      <c r="H129" s="54"/>
      <c r="I129" s="54"/>
      <c r="J129" s="54"/>
      <c r="K129" s="54"/>
      <c r="L129" s="54"/>
    </row>
    <row r="130">
      <c r="A130" s="26" t="s">
        <v>100</v>
      </c>
      <c r="B130" s="27" t="s">
        <v>1</v>
      </c>
      <c r="C130" s="28" t="s">
        <v>2</v>
      </c>
      <c r="D130" s="29" t="s">
        <v>3</v>
      </c>
      <c r="E130" s="28" t="s">
        <v>4</v>
      </c>
      <c r="F130" s="29" t="s">
        <v>5</v>
      </c>
      <c r="G130" s="29" t="s">
        <v>6</v>
      </c>
      <c r="H130" s="28" t="s">
        <v>7</v>
      </c>
      <c r="I130" s="28" t="s">
        <v>8</v>
      </c>
      <c r="J130" s="29" t="s">
        <v>10</v>
      </c>
      <c r="K130" s="16"/>
      <c r="L130" s="51"/>
    </row>
    <row r="131">
      <c r="A131" s="112" t="s">
        <v>93</v>
      </c>
      <c r="B131" s="113">
        <v>85.0</v>
      </c>
      <c r="C131" s="78">
        <f>SUM(B135:AE135)+2</f>
        <v>78</v>
      </c>
      <c r="D131" s="93">
        <f>C131/B131</f>
        <v>0.9176470588</v>
      </c>
      <c r="E131" s="91">
        <f>B131-C131</f>
        <v>7</v>
      </c>
      <c r="F131" s="78"/>
      <c r="G131" s="129"/>
      <c r="H131" s="78"/>
      <c r="I131" s="114"/>
      <c r="J131" s="115">
        <f>C131/30</f>
        <v>2.6</v>
      </c>
      <c r="K131" s="79"/>
      <c r="L131" s="79"/>
    </row>
    <row r="132">
      <c r="A132" s="112" t="s">
        <v>94</v>
      </c>
      <c r="B132" s="78">
        <f t="shared" ref="B132:C132" si="25">B133/B131</f>
        <v>611.7647059</v>
      </c>
      <c r="C132" s="78">
        <f t="shared" si="25"/>
        <v>382.7438462</v>
      </c>
      <c r="D132" s="93"/>
      <c r="E132" s="79"/>
      <c r="F132" s="78"/>
      <c r="G132" s="93"/>
      <c r="H132" s="79"/>
      <c r="I132" s="78"/>
      <c r="J132" s="116"/>
      <c r="K132" s="79"/>
      <c r="L132" s="79"/>
    </row>
    <row r="133">
      <c r="A133" s="112" t="s">
        <v>95</v>
      </c>
      <c r="B133" s="113">
        <v>52000.0</v>
      </c>
      <c r="C133" s="78">
        <f>SUM(B137:AE137)+39</f>
        <v>29854.02</v>
      </c>
      <c r="D133" s="93">
        <f>C133/B133</f>
        <v>0.5741157692</v>
      </c>
      <c r="E133" s="78">
        <f>B133-C133</f>
        <v>22145.98</v>
      </c>
      <c r="F133" s="78"/>
      <c r="G133" s="129"/>
      <c r="H133" s="78"/>
      <c r="I133" s="78"/>
      <c r="J133" s="91">
        <f>C133/30</f>
        <v>995.134</v>
      </c>
      <c r="K133" s="79"/>
      <c r="L133" s="79"/>
    </row>
    <row r="134">
      <c r="A134" s="119" t="s">
        <v>101</v>
      </c>
      <c r="B134" s="128">
        <v>44440.0</v>
      </c>
      <c r="C134" s="128">
        <v>44441.0</v>
      </c>
      <c r="D134" s="128">
        <v>44442.0</v>
      </c>
      <c r="E134" s="128">
        <v>44443.0</v>
      </c>
      <c r="F134" s="128">
        <v>44444.0</v>
      </c>
      <c r="G134" s="128">
        <v>44445.0</v>
      </c>
      <c r="H134" s="128">
        <v>44446.0</v>
      </c>
      <c r="I134" s="128">
        <v>44447.0</v>
      </c>
      <c r="J134" s="128">
        <v>44448.0</v>
      </c>
      <c r="K134" s="128">
        <v>44449.0</v>
      </c>
      <c r="L134" s="128">
        <v>44450.0</v>
      </c>
      <c r="M134" s="128">
        <v>44451.0</v>
      </c>
      <c r="N134" s="128">
        <v>44452.0</v>
      </c>
      <c r="O134" s="128">
        <v>44453.0</v>
      </c>
      <c r="P134" s="128">
        <v>44454.0</v>
      </c>
      <c r="Q134" s="128">
        <v>44455.0</v>
      </c>
      <c r="R134" s="128">
        <v>44456.0</v>
      </c>
      <c r="S134" s="128">
        <v>44457.0</v>
      </c>
      <c r="T134" s="128">
        <v>44458.0</v>
      </c>
      <c r="U134" s="128">
        <v>44459.0</v>
      </c>
      <c r="V134" s="128">
        <v>44460.0</v>
      </c>
      <c r="W134" s="128">
        <v>44461.0</v>
      </c>
      <c r="X134" s="128">
        <v>44462.0</v>
      </c>
      <c r="Y134" s="128">
        <v>44463.0</v>
      </c>
      <c r="Z134" s="128">
        <v>44464.0</v>
      </c>
      <c r="AA134" s="128">
        <v>44465.0</v>
      </c>
      <c r="AB134" s="128">
        <v>44466.0</v>
      </c>
      <c r="AC134" s="128">
        <v>44467.0</v>
      </c>
      <c r="AD134" s="128">
        <v>44468.0</v>
      </c>
      <c r="AE134" s="128">
        <v>44469.0</v>
      </c>
      <c r="AF134" s="128"/>
    </row>
    <row r="135">
      <c r="A135" s="121" t="s">
        <v>93</v>
      </c>
      <c r="B135" s="122">
        <v>4.0</v>
      </c>
      <c r="C135" s="122">
        <v>5.0</v>
      </c>
      <c r="D135" s="122">
        <v>4.0</v>
      </c>
      <c r="E135" s="122">
        <v>3.0</v>
      </c>
      <c r="F135" s="122">
        <v>4.0</v>
      </c>
      <c r="G135" s="122">
        <v>3.0</v>
      </c>
      <c r="H135" s="122">
        <v>1.0</v>
      </c>
      <c r="I135" s="122">
        <v>4.0</v>
      </c>
      <c r="J135" s="122">
        <v>1.0</v>
      </c>
      <c r="K135" s="122">
        <v>2.0</v>
      </c>
      <c r="L135" s="122">
        <v>3.0</v>
      </c>
      <c r="M135" s="122">
        <v>1.0</v>
      </c>
      <c r="N135" s="122">
        <v>4.0</v>
      </c>
      <c r="O135" s="122">
        <v>9.0</v>
      </c>
      <c r="P135" s="122">
        <v>2.0</v>
      </c>
      <c r="Q135" s="122">
        <v>3.0</v>
      </c>
      <c r="R135" s="122">
        <v>1.0</v>
      </c>
      <c r="S135" s="122">
        <v>0.0</v>
      </c>
      <c r="T135" s="122">
        <v>2.0</v>
      </c>
      <c r="U135" s="122">
        <v>4.0</v>
      </c>
      <c r="V135" s="122">
        <v>2.0</v>
      </c>
      <c r="W135" s="122">
        <v>3.0</v>
      </c>
      <c r="X135" s="122">
        <v>0.0</v>
      </c>
      <c r="Y135" s="122">
        <v>2.0</v>
      </c>
      <c r="Z135" s="122">
        <v>2.0</v>
      </c>
      <c r="AA135" s="122">
        <v>2.0</v>
      </c>
      <c r="AB135" s="122">
        <v>0.0</v>
      </c>
      <c r="AC135" s="122">
        <v>2.0</v>
      </c>
      <c r="AD135" s="122">
        <v>2.0</v>
      </c>
      <c r="AE135" s="122">
        <v>1.0</v>
      </c>
      <c r="AF135" s="123"/>
    </row>
    <row r="136">
      <c r="A136" s="121" t="s">
        <v>94</v>
      </c>
      <c r="B136" s="123">
        <f t="shared" ref="B136:AE136" si="26">IFERROR(B137/B135,"-")</f>
        <v>378.53</v>
      </c>
      <c r="C136" s="123">
        <f t="shared" si="26"/>
        <v>433.948</v>
      </c>
      <c r="D136" s="123">
        <f t="shared" si="26"/>
        <v>414.54</v>
      </c>
      <c r="E136" s="123">
        <f t="shared" si="26"/>
        <v>378.08</v>
      </c>
      <c r="F136" s="123">
        <f t="shared" si="26"/>
        <v>301.3375</v>
      </c>
      <c r="G136" s="123">
        <f t="shared" si="26"/>
        <v>438.92</v>
      </c>
      <c r="H136" s="123">
        <f t="shared" si="26"/>
        <v>1254.83</v>
      </c>
      <c r="I136" s="123">
        <f t="shared" si="26"/>
        <v>327.265</v>
      </c>
      <c r="J136" s="123">
        <f t="shared" si="26"/>
        <v>1583.63</v>
      </c>
      <c r="K136" s="123">
        <f t="shared" si="26"/>
        <v>653.05</v>
      </c>
      <c r="L136" s="123">
        <f t="shared" si="26"/>
        <v>543.4133333</v>
      </c>
      <c r="M136" s="123">
        <f t="shared" si="26"/>
        <v>1109.15</v>
      </c>
      <c r="N136" s="123">
        <f t="shared" si="26"/>
        <v>218.1575</v>
      </c>
      <c r="O136" s="123">
        <f t="shared" si="26"/>
        <v>85.32222222</v>
      </c>
      <c r="P136" s="123">
        <f t="shared" si="26"/>
        <v>335.86</v>
      </c>
      <c r="Q136" s="123">
        <f t="shared" si="26"/>
        <v>200.7066667</v>
      </c>
      <c r="R136" s="123">
        <f t="shared" si="26"/>
        <v>437.59</v>
      </c>
      <c r="S136" s="123" t="str">
        <f t="shared" si="26"/>
        <v>-</v>
      </c>
      <c r="T136" s="123">
        <f t="shared" si="26"/>
        <v>114.305</v>
      </c>
      <c r="U136" s="123">
        <f t="shared" si="26"/>
        <v>286.635</v>
      </c>
      <c r="V136" s="123">
        <f t="shared" si="26"/>
        <v>237.77</v>
      </c>
      <c r="W136" s="123">
        <f t="shared" si="26"/>
        <v>393.5933333</v>
      </c>
      <c r="X136" s="123" t="str">
        <f t="shared" si="26"/>
        <v>-</v>
      </c>
      <c r="Y136" s="123">
        <f t="shared" si="26"/>
        <v>188.09</v>
      </c>
      <c r="Z136" s="123">
        <f t="shared" si="26"/>
        <v>589.99</v>
      </c>
      <c r="AA136" s="123">
        <f t="shared" si="26"/>
        <v>244.325</v>
      </c>
      <c r="AB136" s="123" t="str">
        <f t="shared" si="26"/>
        <v>-</v>
      </c>
      <c r="AC136" s="123">
        <f t="shared" si="26"/>
        <v>477.085</v>
      </c>
      <c r="AD136" s="123">
        <f t="shared" si="26"/>
        <v>493.86</v>
      </c>
      <c r="AE136" s="123">
        <f t="shared" si="26"/>
        <v>746.63</v>
      </c>
      <c r="AF136" s="123"/>
    </row>
    <row r="137">
      <c r="A137" s="121" t="s">
        <v>99</v>
      </c>
      <c r="B137" s="122">
        <v>1514.12</v>
      </c>
      <c r="C137" s="122">
        <v>2169.74</v>
      </c>
      <c r="D137" s="122">
        <v>1658.16</v>
      </c>
      <c r="E137" s="122">
        <v>1134.24</v>
      </c>
      <c r="F137" s="122">
        <v>1205.35</v>
      </c>
      <c r="G137" s="122">
        <v>1316.76</v>
      </c>
      <c r="H137" s="122">
        <v>1254.83</v>
      </c>
      <c r="I137" s="122">
        <v>1309.06</v>
      </c>
      <c r="J137" s="122">
        <v>1583.63</v>
      </c>
      <c r="K137" s="122">
        <v>1306.1</v>
      </c>
      <c r="L137" s="122">
        <v>1630.24</v>
      </c>
      <c r="M137" s="122">
        <v>1109.15</v>
      </c>
      <c r="N137" s="122">
        <v>872.63</v>
      </c>
      <c r="O137" s="122">
        <v>767.9</v>
      </c>
      <c r="P137" s="122">
        <v>671.72</v>
      </c>
      <c r="Q137" s="122">
        <v>602.12</v>
      </c>
      <c r="R137" s="122">
        <v>437.59</v>
      </c>
      <c r="S137" s="122">
        <v>236.26</v>
      </c>
      <c r="T137" s="122">
        <v>228.61</v>
      </c>
      <c r="U137" s="122">
        <v>1146.54</v>
      </c>
      <c r="V137" s="122">
        <v>475.54</v>
      </c>
      <c r="W137" s="122">
        <v>1180.78</v>
      </c>
      <c r="X137" s="122">
        <v>871.01</v>
      </c>
      <c r="Y137" s="122">
        <v>376.18</v>
      </c>
      <c r="Z137" s="122">
        <v>1179.98</v>
      </c>
      <c r="AA137" s="122">
        <v>488.65</v>
      </c>
      <c r="AB137" s="122">
        <v>399.61</v>
      </c>
      <c r="AC137" s="122">
        <v>954.17</v>
      </c>
      <c r="AD137" s="122">
        <v>987.72</v>
      </c>
      <c r="AE137" s="122">
        <v>746.63</v>
      </c>
      <c r="AF137" s="123"/>
    </row>
  </sheetData>
  <conditionalFormatting sqref="G4 G10 G28 G39 G45 G63 G74 G80 G98">
    <cfRule type="cellIs" dxfId="1" priority="1" operator="lessThanOrEqual">
      <formula>"100%"</formula>
    </cfRule>
  </conditionalFormatting>
  <conditionalFormatting sqref="G19 G54 G89 G124">
    <cfRule type="cellIs" dxfId="1" priority="2" operator="lessThan">
      <formula>"100%"</formula>
    </cfRule>
  </conditionalFormatting>
  <conditionalFormatting sqref="G4 G10 G28 G39 G45 G63 G74 G80 G98">
    <cfRule type="cellIs" dxfId="0" priority="3" operator="greaterThan">
      <formula>"100%"</formula>
    </cfRule>
  </conditionalFormatting>
  <conditionalFormatting sqref="H19 H54 H89 H124">
    <cfRule type="cellIs" dxfId="1" priority="4" operator="lessThan">
      <formula>0</formula>
    </cfRule>
  </conditionalFormatting>
  <conditionalFormatting sqref="G2 G8 G17 G26 G37 G43 G52 G61 G72 G78 G87 G96">
    <cfRule type="cellIs" dxfId="0" priority="5" operator="lessThan">
      <formula>"100%"</formula>
    </cfRule>
  </conditionalFormatting>
  <conditionalFormatting sqref="H4 H10 H19 H28 H39 H45 H54 H63 H74 H80 H89 H98">
    <cfRule type="cellIs" dxfId="0" priority="6" operator="greaterThan">
      <formula>0</formula>
    </cfRule>
  </conditionalFormatting>
  <conditionalFormatting sqref="H2 H8 H17 H26 H37 H43 H52 H61 H72 H78 H87 H96">
    <cfRule type="cellIs" dxfId="1" priority="7" operator="greaterThanOrEqual">
      <formula>0</formula>
    </cfRule>
  </conditionalFormatting>
  <conditionalFormatting sqref="H4 H10 H19 H28 H39 H45 H54 H63 H74 H80 H89 H98">
    <cfRule type="cellIs" dxfId="1" priority="8" operator="lessThanOrEqual">
      <formula>0</formula>
    </cfRule>
  </conditionalFormatting>
  <conditionalFormatting sqref="H2 H8 H17 H26 H37 H43 H52 H61 H72 H78 H87 H96">
    <cfRule type="cellIs" dxfId="0" priority="9" operator="lessThan">
      <formula>0</formula>
    </cfRule>
  </conditionalFormatting>
  <conditionalFormatting sqref="G2 G8 G17 G26 G37 G43 G52 G61 G72 G78 G87 G96">
    <cfRule type="cellIs" dxfId="1" priority="10" operator="greaterThanOrEqual">
      <formula>"100%"</formula>
    </cfRule>
  </conditionalFormatting>
  <conditionalFormatting sqref="G3 G9 G27 G38 G44 G62 G73 G79 G97">
    <cfRule type="cellIs" dxfId="1" priority="11" operator="lessThanOrEqual">
      <formula>"100%"</formula>
    </cfRule>
  </conditionalFormatting>
  <conditionalFormatting sqref="G3 G9 G27 G38 G44 G62 G73 G79 G97">
    <cfRule type="cellIs" dxfId="0" priority="12" operator="greaterThan">
      <formula>"100%"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31" max="32" width="14.86"/>
  </cols>
  <sheetData>
    <row r="1">
      <c r="A1" s="100" t="s">
        <v>115</v>
      </c>
      <c r="B1" s="101" t="s">
        <v>1</v>
      </c>
      <c r="C1" s="102" t="s">
        <v>2</v>
      </c>
      <c r="D1" s="102" t="str">
        <f>CONCATENATE("Выполнено ",INT('ВАЖ ОП'!AJ113/'ВАЖ ОП'!AK113*100),"%")</f>
        <v>Выполнено 22%</v>
      </c>
      <c r="E1" s="102" t="s">
        <v>4</v>
      </c>
      <c r="F1" s="103" t="s">
        <v>5</v>
      </c>
      <c r="G1" s="103" t="s">
        <v>6</v>
      </c>
      <c r="H1" s="104" t="s">
        <v>7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>B8+B17+B26</f>
        <v>53</v>
      </c>
      <c r="C2" s="9">
        <f>C8+C26</f>
        <v>15</v>
      </c>
      <c r="D2" s="10">
        <f>C2/B2</f>
        <v>0.2830188679</v>
      </c>
      <c r="E2" s="9">
        <f>B2-C2</f>
        <v>38</v>
      </c>
      <c r="F2" s="9">
        <f>(C2/C5)*B5</f>
        <v>66.42857143</v>
      </c>
      <c r="G2" s="10">
        <f t="shared" ref="G2:G4" si="2">F2/B2</f>
        <v>1.253369272</v>
      </c>
      <c r="H2" s="9">
        <f>F2-B2</f>
        <v>13.42857143</v>
      </c>
      <c r="I2" s="106">
        <f>E2/('ВАЖ ОП'!AK113-'ВАЖ ОП'!AJ113)</f>
        <v>1.583333333</v>
      </c>
      <c r="J2" s="46">
        <f>C2/'ВАЖ ОП'!AJ113</f>
        <v>2.142857143</v>
      </c>
      <c r="K2" s="107"/>
    </row>
    <row r="3">
      <c r="A3" s="105" t="s">
        <v>94</v>
      </c>
      <c r="B3" s="8">
        <f t="shared" ref="B3:C3" si="1">B4/B2</f>
        <v>5458.490566</v>
      </c>
      <c r="C3" s="9">
        <f t="shared" si="1"/>
        <v>6900.223333</v>
      </c>
      <c r="D3" s="10"/>
      <c r="E3" s="109"/>
      <c r="F3" s="9">
        <f>F4/F2</f>
        <v>6900.223333</v>
      </c>
      <c r="G3" s="10">
        <f t="shared" si="2"/>
        <v>1.264126639</v>
      </c>
      <c r="H3" s="109"/>
      <c r="I3" s="109"/>
      <c r="J3" s="107"/>
      <c r="K3" s="107"/>
    </row>
    <row r="4">
      <c r="A4" s="105" t="s">
        <v>95</v>
      </c>
      <c r="B4" s="9">
        <f t="shared" ref="B4:C4" si="3">B10+B19+B28</f>
        <v>289300</v>
      </c>
      <c r="C4" s="9">
        <f t="shared" si="3"/>
        <v>103503.35</v>
      </c>
      <c r="D4" s="10">
        <f>C4/B4</f>
        <v>0.3577716903</v>
      </c>
      <c r="E4" s="9">
        <f>B4-C4</f>
        <v>185796.65</v>
      </c>
      <c r="F4" s="9">
        <f>C4/'ВАЖ ОП'!AJ113*'ВАЖ ОП'!AK113</f>
        <v>458371.9786</v>
      </c>
      <c r="G4" s="10">
        <f t="shared" si="2"/>
        <v>1.584417486</v>
      </c>
      <c r="H4" s="9">
        <f>F4-B4</f>
        <v>169071.9786</v>
      </c>
      <c r="I4" s="19">
        <f>E4/('ВАЖ ОП'!AK113-'ВАЖ ОП'!AJ113)</f>
        <v>7741.527083</v>
      </c>
      <c r="J4" s="19">
        <f>C4/'ВАЖ ОП'!AJ113</f>
        <v>14786.19286</v>
      </c>
      <c r="K4" s="107"/>
    </row>
    <row r="5">
      <c r="A5" s="50" t="s">
        <v>116</v>
      </c>
      <c r="B5" s="50">
        <v>31.0</v>
      </c>
      <c r="C5" s="138">
        <f>DAY(TODAY()-1)</f>
        <v>7</v>
      </c>
    </row>
    <row r="6">
      <c r="A6" s="110" t="s">
        <v>96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117</v>
      </c>
      <c r="B7" s="27" t="s">
        <v>1</v>
      </c>
      <c r="C7" s="28" t="s">
        <v>2</v>
      </c>
      <c r="D7" s="28" t="str">
        <f>CONCATENATE("Выполнено ",INT('ВАЖ ОП'!AJ113/'ВАЖ ОП'!AK113*100),"%")</f>
        <v>Выполнено 22%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25.0</v>
      </c>
      <c r="C8" s="78">
        <f>SUM(B12:AE12)+SUM(B21:AE21)</f>
        <v>6</v>
      </c>
      <c r="D8" s="93">
        <f>C8/B8</f>
        <v>0.24</v>
      </c>
      <c r="E8" s="91">
        <f>B8-C8</f>
        <v>19</v>
      </c>
      <c r="F8" s="78">
        <f>(C8/C5)*B5</f>
        <v>26.57142857</v>
      </c>
      <c r="G8" s="93">
        <f t="shared" ref="G8:G10" si="5">F8/B8</f>
        <v>1.062857143</v>
      </c>
      <c r="H8" s="78">
        <f>F8-B8</f>
        <v>1.571428571</v>
      </c>
      <c r="I8" s="114">
        <f>E8/('ВАЖ ОП'!AK113-'ВАЖ ОП'!AJ113)</f>
        <v>0.7916666667</v>
      </c>
      <c r="J8" s="115">
        <f>C8/'ВАЖ ОП'!AJ113</f>
        <v>0.8571428571</v>
      </c>
      <c r="K8" s="116"/>
      <c r="L8" s="13"/>
    </row>
    <row r="9">
      <c r="A9" s="112" t="s">
        <v>94</v>
      </c>
      <c r="B9" s="78">
        <f t="shared" ref="B9:C9" si="4">B10/B8</f>
        <v>4840</v>
      </c>
      <c r="C9" s="78">
        <f t="shared" si="4"/>
        <v>7182.613333</v>
      </c>
      <c r="D9" s="93"/>
      <c r="E9" s="79"/>
      <c r="F9" s="78">
        <f>F10/F8</f>
        <v>7182.613333</v>
      </c>
      <c r="G9" s="93">
        <f t="shared" si="5"/>
        <v>1.484011019</v>
      </c>
      <c r="H9" s="116"/>
      <c r="I9" s="117"/>
      <c r="J9" s="116"/>
      <c r="K9" s="116"/>
      <c r="L9" s="13"/>
    </row>
    <row r="10">
      <c r="A10" s="112" t="s">
        <v>95</v>
      </c>
      <c r="B10" s="113">
        <v>121000.0</v>
      </c>
      <c r="C10" s="78">
        <f>SUM(B14:AE14)+SUM(B23:AE23)</f>
        <v>43095.68</v>
      </c>
      <c r="D10" s="93">
        <f>C10/B10</f>
        <v>0.3561626446</v>
      </c>
      <c r="E10" s="78">
        <f>B10-C10</f>
        <v>77904.32</v>
      </c>
      <c r="F10" s="78">
        <f>C10/'ВАЖ ОП'!AJ113*'ВАЖ ОП'!AK113</f>
        <v>190852.2971</v>
      </c>
      <c r="G10" s="93">
        <f t="shared" si="5"/>
        <v>1.577291712</v>
      </c>
      <c r="H10" s="78">
        <f>F10-B10</f>
        <v>69852.29714</v>
      </c>
      <c r="I10" s="78">
        <f>E10/('ВАЖ ОП'!AK113-'ВАЖ ОП'!AJ113)</f>
        <v>3246.013333</v>
      </c>
      <c r="J10" s="91">
        <f>C10/'ВАЖ ОП'!AJ113</f>
        <v>6156.525714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22">
        <v>1.0</v>
      </c>
      <c r="C12" s="122">
        <v>2.0</v>
      </c>
      <c r="D12" s="123"/>
      <c r="E12" s="122"/>
      <c r="F12" s="122"/>
      <c r="G12" s="122">
        <v>1.0</v>
      </c>
      <c r="H12" s="122"/>
      <c r="I12" s="122"/>
      <c r="J12" s="123"/>
      <c r="K12" s="122"/>
      <c r="L12" s="123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122"/>
      <c r="Z12" s="122"/>
      <c r="AA12" s="122"/>
      <c r="AB12" s="122"/>
      <c r="AC12" s="122"/>
      <c r="AD12" s="122"/>
      <c r="AE12" s="123"/>
      <c r="AF12" s="123"/>
    </row>
    <row r="13">
      <c r="A13" s="121" t="s">
        <v>94</v>
      </c>
      <c r="B13" s="123">
        <f t="shared" ref="B13:AF13" si="6">IFERROR(B14/B12,"-")</f>
        <v>5703.8</v>
      </c>
      <c r="C13" s="123">
        <f t="shared" si="6"/>
        <v>2006.77</v>
      </c>
      <c r="D13" s="123" t="str">
        <f t="shared" si="6"/>
        <v>-</v>
      </c>
      <c r="E13" s="123" t="str">
        <f t="shared" si="6"/>
        <v>-</v>
      </c>
      <c r="F13" s="123" t="str">
        <f t="shared" si="6"/>
        <v>-</v>
      </c>
      <c r="G13" s="123">
        <f t="shared" si="6"/>
        <v>4746.11</v>
      </c>
      <c r="H13" s="123" t="str">
        <f t="shared" si="6"/>
        <v>-</v>
      </c>
      <c r="I13" s="123" t="str">
        <f t="shared" si="6"/>
        <v>-</v>
      </c>
      <c r="J13" s="123" t="str">
        <f t="shared" si="6"/>
        <v>-</v>
      </c>
      <c r="K13" s="123" t="str">
        <f t="shared" si="6"/>
        <v>-</v>
      </c>
      <c r="L13" s="123" t="str">
        <f t="shared" si="6"/>
        <v>-</v>
      </c>
      <c r="M13" s="123" t="str">
        <f t="shared" si="6"/>
        <v>-</v>
      </c>
      <c r="N13" s="123" t="str">
        <f t="shared" si="6"/>
        <v>-</v>
      </c>
      <c r="O13" s="123" t="str">
        <f t="shared" si="6"/>
        <v>-</v>
      </c>
      <c r="P13" s="123" t="str">
        <f t="shared" si="6"/>
        <v>-</v>
      </c>
      <c r="Q13" s="123" t="str">
        <f t="shared" si="6"/>
        <v>-</v>
      </c>
      <c r="R13" s="123" t="str">
        <f t="shared" si="6"/>
        <v>-</v>
      </c>
      <c r="S13" s="123" t="str">
        <f t="shared" si="6"/>
        <v>-</v>
      </c>
      <c r="T13" s="123" t="str">
        <f t="shared" si="6"/>
        <v>-</v>
      </c>
      <c r="U13" s="123" t="str">
        <f t="shared" si="6"/>
        <v>-</v>
      </c>
      <c r="V13" s="123" t="str">
        <f t="shared" si="6"/>
        <v>-</v>
      </c>
      <c r="W13" s="123" t="str">
        <f t="shared" si="6"/>
        <v>-</v>
      </c>
      <c r="X13" s="123" t="str">
        <f t="shared" si="6"/>
        <v>-</v>
      </c>
      <c r="Y13" s="123" t="str">
        <f t="shared" si="6"/>
        <v>-</v>
      </c>
      <c r="Z13" s="123" t="str">
        <f t="shared" si="6"/>
        <v>-</v>
      </c>
      <c r="AA13" s="123" t="str">
        <f t="shared" si="6"/>
        <v>-</v>
      </c>
      <c r="AB13" s="123" t="str">
        <f t="shared" si="6"/>
        <v>-</v>
      </c>
      <c r="AC13" s="123" t="str">
        <f t="shared" si="6"/>
        <v>-</v>
      </c>
      <c r="AD13" s="123" t="str">
        <f t="shared" si="6"/>
        <v>-</v>
      </c>
      <c r="AE13" s="123" t="str">
        <f t="shared" si="6"/>
        <v>-</v>
      </c>
      <c r="AF13" s="123" t="str">
        <f t="shared" si="6"/>
        <v>-</v>
      </c>
    </row>
    <row r="14">
      <c r="A14" s="121" t="s">
        <v>99</v>
      </c>
      <c r="B14" s="122">
        <v>5703.8</v>
      </c>
      <c r="C14" s="122">
        <v>4013.54</v>
      </c>
      <c r="D14" s="122">
        <v>5983.04</v>
      </c>
      <c r="E14" s="122">
        <v>3493.93</v>
      </c>
      <c r="F14" s="122">
        <v>6458.11</v>
      </c>
      <c r="G14" s="122">
        <v>4746.11</v>
      </c>
      <c r="H14" s="122">
        <v>3697.15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85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106</v>
      </c>
      <c r="B16" s="27" t="s">
        <v>1</v>
      </c>
      <c r="C16" s="28" t="s">
        <v>2</v>
      </c>
      <c r="D16" s="28" t="str">
        <f>CONCATENATE("Выполнено ",INT('ВАЖ ОП'!AJ113/'ВАЖ ОП'!AK113*100),"%")</f>
        <v>Выполнено 22%</v>
      </c>
      <c r="E16" s="28" t="s">
        <v>4</v>
      </c>
      <c r="F16" s="29" t="s">
        <v>5</v>
      </c>
      <c r="G16" s="29" t="s">
        <v>6</v>
      </c>
      <c r="H16" s="28" t="s">
        <v>7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>
        <v>5.0</v>
      </c>
      <c r="C17" s="78">
        <f>SUM(B21:AE21)</f>
        <v>2</v>
      </c>
      <c r="D17" s="135"/>
      <c r="E17" s="91"/>
      <c r="F17" s="78">
        <f>(C17/C5)*B5</f>
        <v>8.857142857</v>
      </c>
      <c r="G17" s="136"/>
      <c r="H17" s="78"/>
      <c r="I17" s="114"/>
      <c r="J17" s="115">
        <f>C17/'ВАЖ ОП'!AJ113</f>
        <v>0.2857142857</v>
      </c>
      <c r="K17" s="13"/>
      <c r="L17" s="13"/>
    </row>
    <row r="18">
      <c r="A18" s="112" t="s">
        <v>94</v>
      </c>
      <c r="B18" s="78">
        <f>B19/B17</f>
        <v>6300</v>
      </c>
      <c r="C18" s="132">
        <f>IFERROR(C19/C17,"-")</f>
        <v>4500</v>
      </c>
      <c r="D18" s="93"/>
      <c r="E18" s="84"/>
      <c r="F18" s="132">
        <f>IFERROR(F19/F17,"-")</f>
        <v>4500</v>
      </c>
      <c r="H18" s="79"/>
      <c r="I18" s="78"/>
      <c r="J18" s="116"/>
      <c r="K18" s="13"/>
      <c r="L18" s="13"/>
    </row>
    <row r="19">
      <c r="A19" s="112" t="s">
        <v>95</v>
      </c>
      <c r="B19" s="113">
        <v>31500.0</v>
      </c>
      <c r="C19" s="78">
        <f>SUM(B23:AE23)</f>
        <v>9000</v>
      </c>
      <c r="D19" s="135"/>
      <c r="E19" s="78"/>
      <c r="F19" s="78">
        <f>C19/'ВАЖ ОП'!AJ113*'ВАЖ ОП'!AK113</f>
        <v>39857.14286</v>
      </c>
      <c r="G19" s="136"/>
      <c r="H19" s="78"/>
      <c r="I19" s="78"/>
      <c r="J19" s="91">
        <f>C19/'ВАЖ ОП'!AJ113</f>
        <v>1285.714286</v>
      </c>
      <c r="K19" s="87"/>
      <c r="L19" s="13"/>
    </row>
    <row r="20">
      <c r="A20" s="119" t="s">
        <v>108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/>
      <c r="C21" s="122">
        <v>1.0</v>
      </c>
      <c r="D21" s="122">
        <v>1.0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  <c r="S21" s="122"/>
      <c r="T21" s="122"/>
      <c r="U21" s="122"/>
      <c r="V21" s="122"/>
      <c r="W21" s="122"/>
      <c r="X21" s="122"/>
      <c r="Y21" s="122"/>
      <c r="Z21" s="123"/>
      <c r="AA21" s="123"/>
      <c r="AB21" s="123"/>
      <c r="AC21" s="123"/>
      <c r="AD21" s="123"/>
      <c r="AE21" s="123"/>
      <c r="AF21" s="123"/>
    </row>
    <row r="22">
      <c r="A22" s="121" t="s">
        <v>94</v>
      </c>
      <c r="B22" s="123" t="str">
        <f t="shared" ref="B22:AF22" si="7">IFERROR(B23/B21,"-")</f>
        <v>-</v>
      </c>
      <c r="C22" s="123">
        <f t="shared" si="7"/>
        <v>3000</v>
      </c>
      <c r="D22" s="123">
        <f t="shared" si="7"/>
        <v>3000</v>
      </c>
      <c r="E22" s="123" t="str">
        <f t="shared" si="7"/>
        <v>-</v>
      </c>
      <c r="F22" s="123" t="str">
        <f t="shared" si="7"/>
        <v>-</v>
      </c>
      <c r="G22" s="123" t="str">
        <f t="shared" si="7"/>
        <v>-</v>
      </c>
      <c r="H22" s="123" t="str">
        <f t="shared" si="7"/>
        <v>-</v>
      </c>
      <c r="I22" s="123" t="str">
        <f t="shared" si="7"/>
        <v>-</v>
      </c>
      <c r="J22" s="123" t="str">
        <f t="shared" si="7"/>
        <v>-</v>
      </c>
      <c r="K22" s="123" t="str">
        <f t="shared" si="7"/>
        <v>-</v>
      </c>
      <c r="L22" s="123" t="str">
        <f t="shared" si="7"/>
        <v>-</v>
      </c>
      <c r="M22" s="123" t="str">
        <f t="shared" si="7"/>
        <v>-</v>
      </c>
      <c r="N22" s="123" t="str">
        <f t="shared" si="7"/>
        <v>-</v>
      </c>
      <c r="O22" s="123" t="str">
        <f t="shared" si="7"/>
        <v>-</v>
      </c>
      <c r="P22" s="123" t="str">
        <f t="shared" si="7"/>
        <v>-</v>
      </c>
      <c r="Q22" s="123" t="str">
        <f t="shared" si="7"/>
        <v>-</v>
      </c>
      <c r="R22" s="123" t="str">
        <f t="shared" si="7"/>
        <v>-</v>
      </c>
      <c r="S22" s="123" t="str">
        <f t="shared" si="7"/>
        <v>-</v>
      </c>
      <c r="T22" s="123" t="str">
        <f t="shared" si="7"/>
        <v>-</v>
      </c>
      <c r="U22" s="123" t="str">
        <f t="shared" si="7"/>
        <v>-</v>
      </c>
      <c r="V22" s="123" t="str">
        <f t="shared" si="7"/>
        <v>-</v>
      </c>
      <c r="W22" s="123" t="str">
        <f t="shared" si="7"/>
        <v>-</v>
      </c>
      <c r="X22" s="123" t="str">
        <f t="shared" si="7"/>
        <v>-</v>
      </c>
      <c r="Y22" s="123" t="str">
        <f t="shared" si="7"/>
        <v>-</v>
      </c>
      <c r="Z22" s="123" t="str">
        <f t="shared" si="7"/>
        <v>-</v>
      </c>
      <c r="AA22" s="123" t="str">
        <f t="shared" si="7"/>
        <v>-</v>
      </c>
      <c r="AB22" s="123" t="str">
        <f t="shared" si="7"/>
        <v>-</v>
      </c>
      <c r="AC22" s="123" t="str">
        <f t="shared" si="7"/>
        <v>-</v>
      </c>
      <c r="AD22" s="123" t="str">
        <f t="shared" si="7"/>
        <v>-</v>
      </c>
      <c r="AE22" s="123" t="str">
        <f t="shared" si="7"/>
        <v>-</v>
      </c>
      <c r="AF22" s="123" t="str">
        <f t="shared" si="7"/>
        <v>-</v>
      </c>
    </row>
    <row r="23">
      <c r="A23" s="121" t="s">
        <v>99</v>
      </c>
      <c r="B23" s="122">
        <v>3000.0</v>
      </c>
      <c r="C23" s="122">
        <v>3000.0</v>
      </c>
      <c r="D23" s="122">
        <v>3000.0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3"/>
      <c r="S23" s="123"/>
      <c r="T23" s="123"/>
      <c r="U23" s="123"/>
      <c r="V23" s="122"/>
      <c r="W23" s="122"/>
      <c r="X23" s="123"/>
      <c r="Y23" s="122"/>
      <c r="Z23" s="122"/>
      <c r="AA23" s="123"/>
      <c r="AB23" s="123"/>
      <c r="AC23" s="123"/>
      <c r="AD23" s="123"/>
      <c r="AE23" s="123"/>
      <c r="AF23" s="123"/>
    </row>
    <row r="24">
      <c r="A24" s="35"/>
      <c r="B24" s="53"/>
      <c r="C24" s="53"/>
      <c r="D24" s="53"/>
      <c r="E24" s="53"/>
      <c r="F24" s="55"/>
      <c r="G24" s="55"/>
      <c r="H24" s="54"/>
      <c r="I24" s="54"/>
      <c r="J24" s="54"/>
      <c r="K24" s="54"/>
      <c r="L24" s="54"/>
    </row>
    <row r="25">
      <c r="A25" s="26" t="s">
        <v>118</v>
      </c>
      <c r="B25" s="27" t="s">
        <v>1</v>
      </c>
      <c r="C25" s="28" t="s">
        <v>2</v>
      </c>
      <c r="D25" s="28" t="str">
        <f>CONCATENATE("Выполнено ",INT('ВАЖ ОП'!AJ113/'ВАЖ ОП'!AK113*100),"%")</f>
        <v>Выполнено 22%</v>
      </c>
      <c r="E25" s="28" t="s">
        <v>4</v>
      </c>
      <c r="F25" s="29" t="s">
        <v>5</v>
      </c>
      <c r="G25" s="29" t="s">
        <v>6</v>
      </c>
      <c r="H25" s="28" t="s">
        <v>7</v>
      </c>
      <c r="I25" s="28" t="s">
        <v>8</v>
      </c>
      <c r="J25" s="29" t="s">
        <v>10</v>
      </c>
      <c r="K25" s="16"/>
      <c r="L25" s="51"/>
    </row>
    <row r="26">
      <c r="A26" s="112" t="s">
        <v>93</v>
      </c>
      <c r="B26" s="113">
        <v>23.0</v>
      </c>
      <c r="C26" s="78">
        <f>SUM(B30:AE30)</f>
        <v>9</v>
      </c>
      <c r="D26" s="93">
        <f>C26/B26</f>
        <v>0.3913043478</v>
      </c>
      <c r="E26" s="91">
        <f>B26-C26</f>
        <v>14</v>
      </c>
      <c r="F26" s="78">
        <f>(C26/C5)*B5</f>
        <v>39.85714286</v>
      </c>
      <c r="G26" s="129">
        <f t="shared" ref="G26:G28" si="9">F26/B26</f>
        <v>1.732919255</v>
      </c>
      <c r="H26" s="78">
        <f>F26-B26</f>
        <v>16.85714286</v>
      </c>
      <c r="I26" s="114">
        <f>E26/('ВАЖ ОП'!AK113-'ВАЖ ОП'!AJ113)</f>
        <v>0.5833333333</v>
      </c>
      <c r="J26" s="115">
        <f>C26/'ВАЖ ОП'!AJ113</f>
        <v>1.285714286</v>
      </c>
      <c r="K26" s="79"/>
      <c r="L26" s="79"/>
    </row>
    <row r="27">
      <c r="A27" s="112" t="s">
        <v>94</v>
      </c>
      <c r="B27" s="78">
        <f t="shared" ref="B27:C27" si="8">B28/B26</f>
        <v>5947.826087</v>
      </c>
      <c r="C27" s="78">
        <f t="shared" si="8"/>
        <v>5711.963333</v>
      </c>
      <c r="D27" s="93"/>
      <c r="E27" s="79"/>
      <c r="F27" s="78">
        <f>F28/F26</f>
        <v>5711.963333</v>
      </c>
      <c r="G27" s="93">
        <f t="shared" si="9"/>
        <v>0.9603447125</v>
      </c>
      <c r="H27" s="79"/>
      <c r="I27" s="78"/>
      <c r="J27" s="116"/>
      <c r="K27" s="79"/>
      <c r="L27" s="79"/>
    </row>
    <row r="28">
      <c r="A28" s="112" t="s">
        <v>95</v>
      </c>
      <c r="B28" s="113">
        <v>136800.0</v>
      </c>
      <c r="C28" s="78">
        <f>SUM(B32:AE32)</f>
        <v>51407.67</v>
      </c>
      <c r="D28" s="93">
        <f>C28/B28</f>
        <v>0.3757870614</v>
      </c>
      <c r="E28" s="78">
        <f>B28-C28</f>
        <v>85392.33</v>
      </c>
      <c r="F28" s="78">
        <f>C28/'ВАЖ ОП'!AJ113*'ВАЖ ОП'!AK113</f>
        <v>227662.5386</v>
      </c>
      <c r="G28" s="129">
        <f t="shared" si="9"/>
        <v>1.664199843</v>
      </c>
      <c r="H28" s="78">
        <f>F28-B28</f>
        <v>90862.53857</v>
      </c>
      <c r="I28" s="78">
        <f>E28/('ВАЖ ОП'!AK113-'ВАЖ ОП'!AJ113)</f>
        <v>3558.01375</v>
      </c>
      <c r="J28" s="91">
        <f>C28/'ВАЖ ОП'!AJ113</f>
        <v>7343.952857</v>
      </c>
      <c r="K28" s="79"/>
      <c r="L28" s="79"/>
    </row>
    <row r="29">
      <c r="A29" s="119" t="s">
        <v>101</v>
      </c>
      <c r="B29" s="120">
        <v>44531.0</v>
      </c>
      <c r="C29" s="120">
        <v>44532.0</v>
      </c>
      <c r="D29" s="120">
        <v>44533.0</v>
      </c>
      <c r="E29" s="120">
        <v>44534.0</v>
      </c>
      <c r="F29" s="120">
        <v>44535.0</v>
      </c>
      <c r="G29" s="120">
        <v>44536.0</v>
      </c>
      <c r="H29" s="120">
        <v>44537.0</v>
      </c>
      <c r="I29" s="120">
        <v>44538.0</v>
      </c>
      <c r="J29" s="120">
        <v>44539.0</v>
      </c>
      <c r="K29" s="120">
        <v>44540.0</v>
      </c>
      <c r="L29" s="120">
        <v>44541.0</v>
      </c>
      <c r="M29" s="120">
        <v>44542.0</v>
      </c>
      <c r="N29" s="120">
        <v>44543.0</v>
      </c>
      <c r="O29" s="120">
        <v>44544.0</v>
      </c>
      <c r="P29" s="120">
        <v>44545.0</v>
      </c>
      <c r="Q29" s="120">
        <v>44546.0</v>
      </c>
      <c r="R29" s="120">
        <v>44547.0</v>
      </c>
      <c r="S29" s="120">
        <v>44548.0</v>
      </c>
      <c r="T29" s="120">
        <v>44549.0</v>
      </c>
      <c r="U29" s="120">
        <v>44550.0</v>
      </c>
      <c r="V29" s="120">
        <v>44551.0</v>
      </c>
      <c r="W29" s="120">
        <v>44552.0</v>
      </c>
      <c r="X29" s="120">
        <v>44553.0</v>
      </c>
      <c r="Y29" s="120">
        <v>44554.0</v>
      </c>
      <c r="Z29" s="120">
        <v>44555.0</v>
      </c>
      <c r="AA29" s="120">
        <v>44556.0</v>
      </c>
      <c r="AB29" s="120">
        <v>44557.0</v>
      </c>
      <c r="AC29" s="120">
        <v>44558.0</v>
      </c>
      <c r="AD29" s="120">
        <v>44559.0</v>
      </c>
      <c r="AE29" s="120">
        <v>44560.0</v>
      </c>
      <c r="AF29" s="120">
        <v>44561.0</v>
      </c>
    </row>
    <row r="30">
      <c r="A30" s="121" t="s">
        <v>93</v>
      </c>
      <c r="B30" s="139">
        <v>2.0</v>
      </c>
      <c r="C30" s="139">
        <v>2.0</v>
      </c>
      <c r="D30" s="139">
        <v>3.0</v>
      </c>
      <c r="E30" s="140"/>
      <c r="F30" s="141">
        <v>1.0</v>
      </c>
      <c r="G30" s="141">
        <v>1.0</v>
      </c>
      <c r="H30" s="141"/>
      <c r="I30" s="139"/>
      <c r="J30" s="141"/>
      <c r="K30" s="141"/>
      <c r="L30" s="139"/>
      <c r="M30" s="90"/>
      <c r="N30" s="139"/>
      <c r="O30" s="139"/>
      <c r="P30" s="141"/>
      <c r="Q30" s="141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3"/>
    </row>
    <row r="31">
      <c r="A31" s="121" t="s">
        <v>94</v>
      </c>
      <c r="B31" s="123">
        <f t="shared" ref="B31:AF31" si="10">IFERROR(B32/B30,"-")</f>
        <v>3173.865</v>
      </c>
      <c r="C31" s="123">
        <f t="shared" si="10"/>
        <v>3751.675</v>
      </c>
      <c r="D31" s="123">
        <f t="shared" si="10"/>
        <v>2370.216667</v>
      </c>
      <c r="E31" s="123" t="str">
        <f t="shared" si="10"/>
        <v>-</v>
      </c>
      <c r="F31" s="123">
        <f t="shared" si="10"/>
        <v>7154.17</v>
      </c>
      <c r="G31" s="123">
        <f t="shared" si="10"/>
        <v>8808.89</v>
      </c>
      <c r="H31" s="123" t="str">
        <f t="shared" si="10"/>
        <v>-</v>
      </c>
      <c r="I31" s="123" t="str">
        <f t="shared" si="10"/>
        <v>-</v>
      </c>
      <c r="J31" s="123" t="str">
        <f t="shared" si="10"/>
        <v>-</v>
      </c>
      <c r="K31" s="123" t="str">
        <f t="shared" si="10"/>
        <v>-</v>
      </c>
      <c r="L31" s="123" t="str">
        <f t="shared" si="10"/>
        <v>-</v>
      </c>
      <c r="M31" s="123" t="str">
        <f t="shared" si="10"/>
        <v>-</v>
      </c>
      <c r="N31" s="123" t="str">
        <f t="shared" si="10"/>
        <v>-</v>
      </c>
      <c r="O31" s="123" t="str">
        <f t="shared" si="10"/>
        <v>-</v>
      </c>
      <c r="P31" s="123" t="str">
        <f t="shared" si="10"/>
        <v>-</v>
      </c>
      <c r="Q31" s="123" t="str">
        <f t="shared" si="10"/>
        <v>-</v>
      </c>
      <c r="R31" s="123" t="str">
        <f t="shared" si="10"/>
        <v>-</v>
      </c>
      <c r="S31" s="123" t="str">
        <f t="shared" si="10"/>
        <v>-</v>
      </c>
      <c r="T31" s="123" t="str">
        <f t="shared" si="10"/>
        <v>-</v>
      </c>
      <c r="U31" s="123" t="str">
        <f t="shared" si="10"/>
        <v>-</v>
      </c>
      <c r="V31" s="123" t="str">
        <f t="shared" si="10"/>
        <v>-</v>
      </c>
      <c r="W31" s="123" t="str">
        <f t="shared" si="10"/>
        <v>-</v>
      </c>
      <c r="X31" s="123" t="str">
        <f t="shared" si="10"/>
        <v>-</v>
      </c>
      <c r="Y31" s="123" t="str">
        <f t="shared" si="10"/>
        <v>-</v>
      </c>
      <c r="Z31" s="123" t="str">
        <f t="shared" si="10"/>
        <v>-</v>
      </c>
      <c r="AA31" s="123" t="str">
        <f t="shared" si="10"/>
        <v>-</v>
      </c>
      <c r="AB31" s="123" t="str">
        <f t="shared" si="10"/>
        <v>-</v>
      </c>
      <c r="AC31" s="123" t="str">
        <f t="shared" si="10"/>
        <v>-</v>
      </c>
      <c r="AD31" s="123" t="str">
        <f t="shared" si="10"/>
        <v>-</v>
      </c>
      <c r="AE31" s="123" t="str">
        <f t="shared" si="10"/>
        <v>-</v>
      </c>
      <c r="AF31" s="123" t="str">
        <f t="shared" si="10"/>
        <v>-</v>
      </c>
    </row>
    <row r="32">
      <c r="A32" s="121" t="s">
        <v>99</v>
      </c>
      <c r="B32" s="142">
        <v>6347.73</v>
      </c>
      <c r="C32" s="142">
        <v>7503.35</v>
      </c>
      <c r="D32" s="142">
        <v>7110.65</v>
      </c>
      <c r="E32" s="142">
        <v>6916.3</v>
      </c>
      <c r="F32" s="142">
        <v>7154.17</v>
      </c>
      <c r="G32" s="142">
        <v>8808.89</v>
      </c>
      <c r="H32" s="142">
        <v>7566.58</v>
      </c>
      <c r="I32" s="142"/>
      <c r="J32" s="142"/>
      <c r="K32" s="142"/>
      <c r="L32" s="142"/>
      <c r="M32" s="143"/>
      <c r="N32" s="142"/>
      <c r="O32" s="142"/>
      <c r="P32" s="142"/>
      <c r="Q32" s="14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</row>
    <row r="34">
      <c r="A34" s="26"/>
      <c r="B34" s="27"/>
      <c r="C34" s="28"/>
      <c r="D34" s="28"/>
      <c r="E34" s="28"/>
      <c r="F34" s="29"/>
      <c r="G34" s="29"/>
      <c r="H34" s="28"/>
      <c r="I34" s="28"/>
      <c r="J34" s="29"/>
      <c r="K34" s="16"/>
      <c r="L34" s="51"/>
    </row>
    <row r="35">
      <c r="A35" s="112"/>
      <c r="B35" s="113"/>
      <c r="C35" s="78"/>
      <c r="D35" s="135"/>
      <c r="E35" s="91"/>
      <c r="F35" s="78"/>
      <c r="H35" s="78"/>
      <c r="I35" s="114"/>
      <c r="J35" s="115"/>
      <c r="K35" s="79"/>
      <c r="L35" s="79"/>
    </row>
    <row r="36">
      <c r="A36" s="112"/>
      <c r="B36" s="113"/>
      <c r="C36" s="132"/>
      <c r="D36" s="93"/>
      <c r="E36" s="79"/>
      <c r="F36" s="78"/>
      <c r="H36" s="79"/>
      <c r="I36" s="78"/>
      <c r="J36" s="116"/>
      <c r="K36" s="79"/>
      <c r="L36" s="79"/>
    </row>
    <row r="41">
      <c r="A41" s="26" t="s">
        <v>117</v>
      </c>
      <c r="B41" s="27" t="s">
        <v>1</v>
      </c>
      <c r="C41" s="28" t="s">
        <v>2</v>
      </c>
      <c r="D41" s="28" t="str">
        <f>CONCATENATE("Выполнено ",INT('ВАЖ ОП'!AJ147/'ВАЖ ОП'!AK147*100),"%")</f>
        <v>#DIV/0!</v>
      </c>
      <c r="E41" s="28" t="s">
        <v>4</v>
      </c>
      <c r="F41" s="29" t="s">
        <v>5</v>
      </c>
      <c r="G41" s="29" t="s">
        <v>6</v>
      </c>
      <c r="H41" s="28" t="s">
        <v>7</v>
      </c>
      <c r="I41" s="28" t="s">
        <v>8</v>
      </c>
      <c r="J41" s="29" t="s">
        <v>10</v>
      </c>
      <c r="K41" s="16"/>
      <c r="L41" s="111"/>
    </row>
    <row r="42">
      <c r="A42" s="112" t="s">
        <v>93</v>
      </c>
      <c r="B42" s="113">
        <v>20.0</v>
      </c>
      <c r="C42" s="78">
        <f>SUM(B46:AE46)+SUM(B55:AE55)</f>
        <v>0</v>
      </c>
      <c r="D42" s="93">
        <f>C42/B42</f>
        <v>0</v>
      </c>
      <c r="E42" s="91">
        <f>B42-C42</f>
        <v>20</v>
      </c>
      <c r="F42" s="78" t="str">
        <f>(C42/C39)*B39</f>
        <v>#DIV/0!</v>
      </c>
      <c r="G42" s="93" t="str">
        <f t="shared" ref="G42:G44" si="12">F42/B42</f>
        <v>#DIV/0!</v>
      </c>
      <c r="H42" s="78" t="str">
        <f>F42-B42</f>
        <v>#DIV/0!</v>
      </c>
      <c r="I42" s="114" t="str">
        <f>E42/('ВАЖ ОП'!AK147-'ВАЖ ОП'!AJ147)</f>
        <v>#DIV/0!</v>
      </c>
      <c r="J42" s="115" t="str">
        <f>C42/'ВАЖ ОП'!AJ147</f>
        <v>#DIV/0!</v>
      </c>
      <c r="K42" s="116"/>
      <c r="L42" s="13"/>
    </row>
    <row r="43">
      <c r="A43" s="112" t="s">
        <v>94</v>
      </c>
      <c r="B43" s="78">
        <f t="shared" ref="B43:C43" si="11">B44/B42</f>
        <v>6500</v>
      </c>
      <c r="C43" s="78" t="str">
        <f t="shared" si="11"/>
        <v>#DIV/0!</v>
      </c>
      <c r="D43" s="93"/>
      <c r="E43" s="79"/>
      <c r="F43" s="78" t="str">
        <f>F44/F42</f>
        <v>#DIV/0!</v>
      </c>
      <c r="G43" s="93" t="str">
        <f t="shared" si="12"/>
        <v>#DIV/0!</v>
      </c>
      <c r="H43" s="116"/>
      <c r="I43" s="117"/>
      <c r="J43" s="116"/>
      <c r="K43" s="116"/>
      <c r="L43" s="13"/>
    </row>
    <row r="44">
      <c r="A44" s="112" t="s">
        <v>95</v>
      </c>
      <c r="B44" s="113">
        <v>130000.0</v>
      </c>
      <c r="C44" s="78">
        <f>SUM(B48:AE48)+SUM(B57:AE57)</f>
        <v>5000.03</v>
      </c>
      <c r="D44" s="93">
        <f>C44/B44</f>
        <v>0.03846176923</v>
      </c>
      <c r="E44" s="78">
        <f>B44-C44</f>
        <v>124999.97</v>
      </c>
      <c r="F44" s="78" t="str">
        <f>C44/'ВАЖ ОП'!AJ147*'ВАЖ ОП'!AK147</f>
        <v>#DIV/0!</v>
      </c>
      <c r="G44" s="93" t="str">
        <f t="shared" si="12"/>
        <v>#DIV/0!</v>
      </c>
      <c r="H44" s="78" t="str">
        <f>F44-B44</f>
        <v>#DIV/0!</v>
      </c>
      <c r="I44" s="78" t="str">
        <f>E44/('ВАЖ ОП'!AK147-'ВАЖ ОП'!AJ147)</f>
        <v>#DIV/0!</v>
      </c>
      <c r="J44" s="91" t="str">
        <f>C44/'ВАЖ ОП'!AJ147</f>
        <v>#DIV/0!</v>
      </c>
      <c r="K44" s="118"/>
      <c r="L44" s="13"/>
    </row>
    <row r="45">
      <c r="A45" s="119" t="s">
        <v>98</v>
      </c>
      <c r="B45" s="120">
        <v>44470.0</v>
      </c>
      <c r="C45" s="120">
        <v>44471.0</v>
      </c>
      <c r="D45" s="120">
        <v>44472.0</v>
      </c>
      <c r="E45" s="120">
        <v>44473.0</v>
      </c>
      <c r="F45" s="120">
        <v>44474.0</v>
      </c>
      <c r="G45" s="120">
        <v>44475.0</v>
      </c>
      <c r="H45" s="120">
        <v>44476.0</v>
      </c>
      <c r="I45" s="120">
        <v>44477.0</v>
      </c>
      <c r="J45" s="120">
        <v>44478.0</v>
      </c>
      <c r="K45" s="120">
        <v>44479.0</v>
      </c>
      <c r="L45" s="120">
        <v>44480.0</v>
      </c>
      <c r="M45" s="120">
        <v>44481.0</v>
      </c>
      <c r="N45" s="120">
        <v>44482.0</v>
      </c>
      <c r="O45" s="120">
        <v>44483.0</v>
      </c>
      <c r="P45" s="120">
        <v>44484.0</v>
      </c>
      <c r="Q45" s="120">
        <v>44485.0</v>
      </c>
      <c r="R45" s="120">
        <v>44486.0</v>
      </c>
      <c r="S45" s="120">
        <v>44487.0</v>
      </c>
      <c r="T45" s="120">
        <v>44488.0</v>
      </c>
      <c r="U45" s="120">
        <v>44489.0</v>
      </c>
      <c r="V45" s="120">
        <v>44490.0</v>
      </c>
      <c r="W45" s="120">
        <v>44491.0</v>
      </c>
      <c r="X45" s="120">
        <v>44492.0</v>
      </c>
      <c r="Y45" s="120">
        <v>44493.0</v>
      </c>
      <c r="Z45" s="120">
        <v>44494.0</v>
      </c>
      <c r="AA45" s="120">
        <v>44495.0</v>
      </c>
      <c r="AB45" s="120">
        <v>44496.0</v>
      </c>
      <c r="AC45" s="120">
        <v>44497.0</v>
      </c>
      <c r="AD45" s="120">
        <v>44498.0</v>
      </c>
      <c r="AE45" s="120">
        <v>44499.0</v>
      </c>
      <c r="AF45" s="120">
        <v>44500.0</v>
      </c>
    </row>
    <row r="46">
      <c r="A46" s="121" t="s">
        <v>93</v>
      </c>
      <c r="B46" s="123"/>
      <c r="C46" s="123"/>
      <c r="D46" s="123"/>
      <c r="E46" s="122"/>
      <c r="F46" s="122"/>
      <c r="G46" s="122"/>
      <c r="H46" s="122"/>
      <c r="I46" s="123"/>
      <c r="J46" s="123"/>
      <c r="K46" s="122"/>
      <c r="L46" s="123"/>
      <c r="M46" s="123"/>
      <c r="N46" s="122"/>
      <c r="O46" s="123"/>
      <c r="P46" s="123"/>
      <c r="Q46" s="123"/>
      <c r="R46" s="122"/>
      <c r="S46" s="123"/>
      <c r="T46" s="122"/>
      <c r="U46" s="122"/>
      <c r="V46" s="123"/>
      <c r="W46" s="123"/>
      <c r="X46" s="123"/>
      <c r="Y46" s="122"/>
      <c r="Z46" s="122"/>
      <c r="AA46" s="123"/>
      <c r="AB46" s="122"/>
      <c r="AC46" s="122"/>
      <c r="AD46" s="122"/>
      <c r="AE46" s="123"/>
      <c r="AF46" s="123"/>
    </row>
    <row r="47">
      <c r="A47" s="121" t="s">
        <v>94</v>
      </c>
      <c r="B47" s="123" t="str">
        <f t="shared" ref="B47:AF47" si="13">IFERROR(B48/B46,"-")</f>
        <v>-</v>
      </c>
      <c r="C47" s="123" t="str">
        <f t="shared" si="13"/>
        <v>-</v>
      </c>
      <c r="D47" s="123" t="str">
        <f t="shared" si="13"/>
        <v>-</v>
      </c>
      <c r="E47" s="123" t="str">
        <f t="shared" si="13"/>
        <v>-</v>
      </c>
      <c r="F47" s="123" t="str">
        <f t="shared" si="13"/>
        <v>-</v>
      </c>
      <c r="G47" s="123" t="str">
        <f t="shared" si="13"/>
        <v>-</v>
      </c>
      <c r="H47" s="123" t="str">
        <f t="shared" si="13"/>
        <v>-</v>
      </c>
      <c r="I47" s="123" t="str">
        <f t="shared" si="13"/>
        <v>-</v>
      </c>
      <c r="J47" s="123" t="str">
        <f t="shared" si="13"/>
        <v>-</v>
      </c>
      <c r="K47" s="123" t="str">
        <f t="shared" si="13"/>
        <v>-</v>
      </c>
      <c r="L47" s="123" t="str">
        <f t="shared" si="13"/>
        <v>-</v>
      </c>
      <c r="M47" s="123" t="str">
        <f t="shared" si="13"/>
        <v>-</v>
      </c>
      <c r="N47" s="123" t="str">
        <f t="shared" si="13"/>
        <v>-</v>
      </c>
      <c r="O47" s="123" t="str">
        <f t="shared" si="13"/>
        <v>-</v>
      </c>
      <c r="P47" s="123" t="str">
        <f t="shared" si="13"/>
        <v>-</v>
      </c>
      <c r="Q47" s="123" t="str">
        <f t="shared" si="13"/>
        <v>-</v>
      </c>
      <c r="R47" s="123" t="str">
        <f t="shared" si="13"/>
        <v>-</v>
      </c>
      <c r="S47" s="123" t="str">
        <f t="shared" si="13"/>
        <v>-</v>
      </c>
      <c r="T47" s="123" t="str">
        <f t="shared" si="13"/>
        <v>-</v>
      </c>
      <c r="U47" s="123" t="str">
        <f t="shared" si="13"/>
        <v>-</v>
      </c>
      <c r="V47" s="123" t="str">
        <f t="shared" si="13"/>
        <v>-</v>
      </c>
      <c r="W47" s="123" t="str">
        <f t="shared" si="13"/>
        <v>-</v>
      </c>
      <c r="X47" s="123" t="str">
        <f t="shared" si="13"/>
        <v>-</v>
      </c>
      <c r="Y47" s="123" t="str">
        <f t="shared" si="13"/>
        <v>-</v>
      </c>
      <c r="Z47" s="123" t="str">
        <f t="shared" si="13"/>
        <v>-</v>
      </c>
      <c r="AA47" s="123" t="str">
        <f t="shared" si="13"/>
        <v>-</v>
      </c>
      <c r="AB47" s="123" t="str">
        <f t="shared" si="13"/>
        <v>-</v>
      </c>
      <c r="AC47" s="123" t="str">
        <f t="shared" si="13"/>
        <v>-</v>
      </c>
      <c r="AD47" s="123" t="str">
        <f t="shared" si="13"/>
        <v>-</v>
      </c>
      <c r="AE47" s="123" t="str">
        <f t="shared" si="13"/>
        <v>-</v>
      </c>
      <c r="AF47" s="123" t="str">
        <f t="shared" si="13"/>
        <v>-</v>
      </c>
    </row>
    <row r="48">
      <c r="A48" s="121" t="s">
        <v>99</v>
      </c>
      <c r="B48" s="123"/>
      <c r="C48" s="123"/>
      <c r="D48" s="123"/>
      <c r="E48" s="122"/>
      <c r="F48" s="122"/>
      <c r="G48" s="122"/>
      <c r="H48" s="122"/>
      <c r="I48" s="122" t="s">
        <v>119</v>
      </c>
      <c r="J48" s="122" t="s">
        <v>120</v>
      </c>
      <c r="K48" s="122" t="s">
        <v>121</v>
      </c>
      <c r="L48" s="122" t="s">
        <v>122</v>
      </c>
      <c r="M48" s="123"/>
      <c r="N48" s="122">
        <v>51.95</v>
      </c>
      <c r="O48" s="122">
        <v>271.98</v>
      </c>
      <c r="P48" s="122">
        <v>645.17</v>
      </c>
      <c r="Q48" s="122">
        <v>26.21</v>
      </c>
      <c r="R48" s="122">
        <v>203.98</v>
      </c>
      <c r="S48" s="122">
        <v>271.5</v>
      </c>
      <c r="T48" s="122">
        <v>150.0</v>
      </c>
      <c r="U48" s="122">
        <v>643.45</v>
      </c>
      <c r="V48" s="122">
        <v>372.68</v>
      </c>
      <c r="W48" s="122">
        <v>373.96</v>
      </c>
      <c r="X48" s="122">
        <v>1311.95</v>
      </c>
      <c r="Y48" s="122">
        <v>677.2</v>
      </c>
      <c r="Z48" s="122"/>
      <c r="AA48" s="122"/>
      <c r="AB48" s="122"/>
      <c r="AC48" s="122"/>
      <c r="AD48" s="122"/>
      <c r="AE48" s="122"/>
      <c r="AF48" s="122"/>
    </row>
    <row r="49">
      <c r="A49" s="51"/>
      <c r="B49" s="87"/>
      <c r="C49" s="85"/>
      <c r="D49" s="85"/>
      <c r="E49" s="85"/>
      <c r="F49" s="85"/>
      <c r="G49" s="85"/>
      <c r="H49" s="85"/>
      <c r="I49" s="85"/>
      <c r="J49" s="85"/>
      <c r="K49" s="51"/>
      <c r="L49" s="51"/>
    </row>
    <row r="50">
      <c r="A50" s="26" t="s">
        <v>106</v>
      </c>
      <c r="B50" s="27" t="s">
        <v>1</v>
      </c>
      <c r="C50" s="28" t="s">
        <v>2</v>
      </c>
      <c r="D50" s="28" t="str">
        <f>CONCATENATE("Выполнено ",INT('ВАЖ ОП'!AJ147/'ВАЖ ОП'!AK147*100),"%")</f>
        <v>#DIV/0!</v>
      </c>
      <c r="E50" s="28" t="s">
        <v>4</v>
      </c>
      <c r="F50" s="29" t="s">
        <v>5</v>
      </c>
      <c r="G50" s="29" t="s">
        <v>6</v>
      </c>
      <c r="H50" s="28" t="s">
        <v>7</v>
      </c>
      <c r="I50" s="28" t="s">
        <v>8</v>
      </c>
      <c r="J50" s="29" t="s">
        <v>10</v>
      </c>
      <c r="K50" s="16"/>
      <c r="L50" s="51"/>
    </row>
    <row r="51">
      <c r="A51" s="112" t="s">
        <v>93</v>
      </c>
      <c r="B51" s="113">
        <v>8.0</v>
      </c>
      <c r="C51" s="78">
        <f>SUM(B55:AE55)</f>
        <v>0</v>
      </c>
      <c r="D51" s="135"/>
      <c r="E51" s="91"/>
      <c r="F51" s="78" t="str">
        <f>(C51/C39)*B39</f>
        <v>#DIV/0!</v>
      </c>
      <c r="G51" s="136"/>
      <c r="H51" s="78"/>
      <c r="I51" s="114"/>
      <c r="J51" s="115" t="str">
        <f>C51/'ВАЖ ОП'!AJ147</f>
        <v>#DIV/0!</v>
      </c>
      <c r="K51" s="13"/>
      <c r="L51" s="13"/>
    </row>
    <row r="52">
      <c r="A52" s="112" t="s">
        <v>94</v>
      </c>
      <c r="B52" s="78">
        <f>B53/B51</f>
        <v>6000</v>
      </c>
      <c r="C52" s="132" t="str">
        <f>IFERROR(C53/C51,"-")</f>
        <v>-</v>
      </c>
      <c r="D52" s="93"/>
      <c r="E52" s="84"/>
      <c r="F52" s="132" t="str">
        <f>IFERROR(F53/F51,"-")</f>
        <v>-</v>
      </c>
      <c r="H52" s="79"/>
      <c r="I52" s="78"/>
      <c r="J52" s="116"/>
      <c r="K52" s="13"/>
      <c r="L52" s="13"/>
    </row>
    <row r="53">
      <c r="A53" s="112" t="s">
        <v>95</v>
      </c>
      <c r="B53" s="113">
        <v>48000.0</v>
      </c>
      <c r="C53" s="78">
        <f>SUM(B57:AE57)</f>
        <v>0</v>
      </c>
      <c r="D53" s="135"/>
      <c r="E53" s="78"/>
      <c r="F53" s="78" t="str">
        <f>C53/'ВАЖ ОП'!AJ147*'ВАЖ ОП'!AK147</f>
        <v>#DIV/0!</v>
      </c>
      <c r="G53" s="136"/>
      <c r="H53" s="78"/>
      <c r="I53" s="78"/>
      <c r="J53" s="91" t="str">
        <f>C53/'ВАЖ ОП'!AJ147</f>
        <v>#DIV/0!</v>
      </c>
      <c r="K53" s="87"/>
      <c r="L53" s="13"/>
    </row>
    <row r="54">
      <c r="A54" s="119" t="s">
        <v>108</v>
      </c>
      <c r="B54" s="120">
        <v>44470.0</v>
      </c>
      <c r="C54" s="120">
        <v>44471.0</v>
      </c>
      <c r="D54" s="120">
        <v>44472.0</v>
      </c>
      <c r="E54" s="120">
        <v>44473.0</v>
      </c>
      <c r="F54" s="120">
        <v>44474.0</v>
      </c>
      <c r="G54" s="120">
        <v>44475.0</v>
      </c>
      <c r="H54" s="120">
        <v>44476.0</v>
      </c>
      <c r="I54" s="120">
        <v>44477.0</v>
      </c>
      <c r="J54" s="120">
        <v>44478.0</v>
      </c>
      <c r="K54" s="120">
        <v>44479.0</v>
      </c>
      <c r="L54" s="120">
        <v>44480.0</v>
      </c>
      <c r="M54" s="120">
        <v>44481.0</v>
      </c>
      <c r="N54" s="120">
        <v>44482.0</v>
      </c>
      <c r="O54" s="120">
        <v>44483.0</v>
      </c>
      <c r="P54" s="120">
        <v>44484.0</v>
      </c>
      <c r="Q54" s="120">
        <v>44485.0</v>
      </c>
      <c r="R54" s="120">
        <v>44486.0</v>
      </c>
      <c r="S54" s="120">
        <v>44487.0</v>
      </c>
      <c r="T54" s="120">
        <v>44488.0</v>
      </c>
      <c r="U54" s="120">
        <v>44489.0</v>
      </c>
      <c r="V54" s="120">
        <v>44490.0</v>
      </c>
      <c r="W54" s="120">
        <v>44491.0</v>
      </c>
      <c r="X54" s="120">
        <v>44492.0</v>
      </c>
      <c r="Y54" s="120">
        <v>44493.0</v>
      </c>
      <c r="Z54" s="120">
        <v>44494.0</v>
      </c>
      <c r="AA54" s="120">
        <v>44495.0</v>
      </c>
      <c r="AB54" s="120">
        <v>44496.0</v>
      </c>
      <c r="AC54" s="120">
        <v>44497.0</v>
      </c>
      <c r="AD54" s="120">
        <v>44498.0</v>
      </c>
      <c r="AE54" s="120">
        <v>44499.0</v>
      </c>
      <c r="AF54" s="120">
        <v>44500.0</v>
      </c>
    </row>
    <row r="55">
      <c r="A55" s="121" t="s">
        <v>93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3"/>
      <c r="S55" s="123"/>
      <c r="T55" s="122"/>
      <c r="U55" s="123"/>
      <c r="V55" s="123"/>
      <c r="W55" s="123"/>
      <c r="X55" s="122"/>
      <c r="Y55" s="123"/>
      <c r="Z55" s="123"/>
      <c r="AA55" s="123"/>
      <c r="AB55" s="123"/>
      <c r="AC55" s="123"/>
      <c r="AD55" s="123"/>
      <c r="AE55" s="123"/>
      <c r="AF55" s="123"/>
    </row>
    <row r="56">
      <c r="A56" s="121" t="s">
        <v>94</v>
      </c>
      <c r="B56" s="123" t="str">
        <f t="shared" ref="B56:AF56" si="14">IFERROR(B57/B55,"-")</f>
        <v>-</v>
      </c>
      <c r="C56" s="123" t="str">
        <f t="shared" si="14"/>
        <v>-</v>
      </c>
      <c r="D56" s="123" t="str">
        <f t="shared" si="14"/>
        <v>-</v>
      </c>
      <c r="E56" s="123" t="str">
        <f t="shared" si="14"/>
        <v>-</v>
      </c>
      <c r="F56" s="123" t="str">
        <f t="shared" si="14"/>
        <v>-</v>
      </c>
      <c r="G56" s="123" t="str">
        <f t="shared" si="14"/>
        <v>-</v>
      </c>
      <c r="H56" s="123" t="str">
        <f t="shared" si="14"/>
        <v>-</v>
      </c>
      <c r="I56" s="123" t="str">
        <f t="shared" si="14"/>
        <v>-</v>
      </c>
      <c r="J56" s="123" t="str">
        <f t="shared" si="14"/>
        <v>-</v>
      </c>
      <c r="K56" s="123" t="str">
        <f t="shared" si="14"/>
        <v>-</v>
      </c>
      <c r="L56" s="123" t="str">
        <f t="shared" si="14"/>
        <v>-</v>
      </c>
      <c r="M56" s="123" t="str">
        <f t="shared" si="14"/>
        <v>-</v>
      </c>
      <c r="N56" s="123" t="str">
        <f t="shared" si="14"/>
        <v>-</v>
      </c>
      <c r="O56" s="123" t="str">
        <f t="shared" si="14"/>
        <v>-</v>
      </c>
      <c r="P56" s="123" t="str">
        <f t="shared" si="14"/>
        <v>-</v>
      </c>
      <c r="Q56" s="123" t="str">
        <f t="shared" si="14"/>
        <v>-</v>
      </c>
      <c r="R56" s="123" t="str">
        <f t="shared" si="14"/>
        <v>-</v>
      </c>
      <c r="S56" s="123" t="str">
        <f t="shared" si="14"/>
        <v>-</v>
      </c>
      <c r="T56" s="123" t="str">
        <f t="shared" si="14"/>
        <v>-</v>
      </c>
      <c r="U56" s="123" t="str">
        <f t="shared" si="14"/>
        <v>-</v>
      </c>
      <c r="V56" s="123" t="str">
        <f t="shared" si="14"/>
        <v>-</v>
      </c>
      <c r="W56" s="123" t="str">
        <f t="shared" si="14"/>
        <v>-</v>
      </c>
      <c r="X56" s="123" t="str">
        <f t="shared" si="14"/>
        <v>-</v>
      </c>
      <c r="Y56" s="123" t="str">
        <f t="shared" si="14"/>
        <v>-</v>
      </c>
      <c r="Z56" s="123" t="str">
        <f t="shared" si="14"/>
        <v>-</v>
      </c>
      <c r="AA56" s="123" t="str">
        <f t="shared" si="14"/>
        <v>-</v>
      </c>
      <c r="AB56" s="123" t="str">
        <f t="shared" si="14"/>
        <v>-</v>
      </c>
      <c r="AC56" s="123" t="str">
        <f t="shared" si="14"/>
        <v>-</v>
      </c>
      <c r="AD56" s="123" t="str">
        <f t="shared" si="14"/>
        <v>-</v>
      </c>
      <c r="AE56" s="123" t="str">
        <f t="shared" si="14"/>
        <v>-</v>
      </c>
      <c r="AF56" s="123" t="str">
        <f t="shared" si="14"/>
        <v>-</v>
      </c>
    </row>
    <row r="57">
      <c r="A57" s="121" t="s">
        <v>99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</row>
    <row r="58">
      <c r="A58" s="35"/>
      <c r="B58" s="53"/>
      <c r="C58" s="53"/>
      <c r="D58" s="53"/>
      <c r="E58" s="53"/>
      <c r="F58" s="55"/>
      <c r="G58" s="55"/>
      <c r="H58" s="54"/>
      <c r="I58" s="54"/>
      <c r="J58" s="54"/>
      <c r="K58" s="54"/>
      <c r="L58" s="54"/>
    </row>
    <row r="59">
      <c r="A59" s="26" t="s">
        <v>118</v>
      </c>
      <c r="B59" s="27" t="s">
        <v>1</v>
      </c>
      <c r="C59" s="28" t="s">
        <v>2</v>
      </c>
      <c r="D59" s="28" t="str">
        <f>CONCATENATE("Выполнено ",INT('ВАЖ ОП'!AJ147/'ВАЖ ОП'!AK147*100),"%")</f>
        <v>#DIV/0!</v>
      </c>
      <c r="E59" s="28" t="s">
        <v>4</v>
      </c>
      <c r="F59" s="29" t="s">
        <v>5</v>
      </c>
      <c r="G59" s="29" t="s">
        <v>6</v>
      </c>
      <c r="H59" s="28" t="s">
        <v>7</v>
      </c>
      <c r="I59" s="28" t="s">
        <v>8</v>
      </c>
      <c r="J59" s="29" t="s">
        <v>10</v>
      </c>
      <c r="K59" s="16"/>
      <c r="L59" s="51"/>
    </row>
    <row r="60">
      <c r="A60" s="112" t="s">
        <v>93</v>
      </c>
      <c r="B60" s="113">
        <v>15.0</v>
      </c>
      <c r="C60" s="78">
        <f>SUM(B64:AE64)</f>
        <v>0</v>
      </c>
      <c r="D60" s="93">
        <f>C60/B60</f>
        <v>0</v>
      </c>
      <c r="E60" s="91">
        <f>B60-C60</f>
        <v>15</v>
      </c>
      <c r="F60" s="78" t="str">
        <f>(C60/C39)*B39</f>
        <v>#DIV/0!</v>
      </c>
      <c r="G60" s="129" t="str">
        <f t="shared" ref="G60:G62" si="16">F60/B60</f>
        <v>#DIV/0!</v>
      </c>
      <c r="H60" s="78" t="str">
        <f>F60-B60</f>
        <v>#DIV/0!</v>
      </c>
      <c r="I60" s="114" t="str">
        <f>E60/('ВАЖ ОП'!AK147-'ВАЖ ОП'!AJ147)</f>
        <v>#DIV/0!</v>
      </c>
      <c r="J60" s="115" t="str">
        <f>C60/'ВАЖ ОП'!AJ147</f>
        <v>#DIV/0!</v>
      </c>
      <c r="K60" s="79"/>
      <c r="L60" s="79"/>
    </row>
    <row r="61">
      <c r="A61" s="112" t="s">
        <v>94</v>
      </c>
      <c r="B61" s="78">
        <f t="shared" ref="B61:C61" si="15">B62/B60</f>
        <v>8000</v>
      </c>
      <c r="C61" s="78" t="str">
        <f t="shared" si="15"/>
        <v>#DIV/0!</v>
      </c>
      <c r="D61" s="93"/>
      <c r="E61" s="79"/>
      <c r="F61" s="78" t="str">
        <f>F62/F60</f>
        <v>#DIV/0!</v>
      </c>
      <c r="G61" s="93" t="str">
        <f t="shared" si="16"/>
        <v>#DIV/0!</v>
      </c>
      <c r="H61" s="79"/>
      <c r="I61" s="78"/>
      <c r="J61" s="116"/>
      <c r="K61" s="79"/>
      <c r="L61" s="79"/>
    </row>
    <row r="62">
      <c r="A62" s="112" t="s">
        <v>95</v>
      </c>
      <c r="B62" s="113">
        <v>120000.0</v>
      </c>
      <c r="C62" s="78">
        <f>SUM(B66:AE66)</f>
        <v>0</v>
      </c>
      <c r="D62" s="93">
        <f>C62/B62</f>
        <v>0</v>
      </c>
      <c r="E62" s="78">
        <f>B62-C62</f>
        <v>120000</v>
      </c>
      <c r="F62" s="78" t="str">
        <f>C62/'ВАЖ ОП'!AJ147*'ВАЖ ОП'!AK147</f>
        <v>#DIV/0!</v>
      </c>
      <c r="G62" s="129" t="str">
        <f t="shared" si="16"/>
        <v>#DIV/0!</v>
      </c>
      <c r="H62" s="78" t="str">
        <f>F62-B62</f>
        <v>#DIV/0!</v>
      </c>
      <c r="I62" s="78" t="str">
        <f>E62/('ВАЖ ОП'!AK147-'ВАЖ ОП'!AJ147)</f>
        <v>#DIV/0!</v>
      </c>
      <c r="J62" s="91" t="str">
        <f>C62/'ВАЖ ОП'!AJ147</f>
        <v>#DIV/0!</v>
      </c>
      <c r="K62" s="79"/>
      <c r="L62" s="79"/>
    </row>
    <row r="63">
      <c r="A63" s="119" t="s">
        <v>101</v>
      </c>
      <c r="B63" s="120">
        <v>44470.0</v>
      </c>
      <c r="C63" s="120">
        <v>44471.0</v>
      </c>
      <c r="D63" s="120">
        <v>44472.0</v>
      </c>
      <c r="E63" s="120">
        <v>44473.0</v>
      </c>
      <c r="F63" s="120">
        <v>44474.0</v>
      </c>
      <c r="G63" s="120">
        <v>44475.0</v>
      </c>
      <c r="H63" s="120">
        <v>44476.0</v>
      </c>
      <c r="I63" s="120">
        <v>44477.0</v>
      </c>
      <c r="J63" s="120">
        <v>44478.0</v>
      </c>
      <c r="K63" s="120">
        <v>44479.0</v>
      </c>
      <c r="L63" s="120">
        <v>44480.0</v>
      </c>
      <c r="M63" s="120">
        <v>44481.0</v>
      </c>
      <c r="N63" s="120">
        <v>44482.0</v>
      </c>
      <c r="O63" s="120">
        <v>44483.0</v>
      </c>
      <c r="P63" s="120">
        <v>44484.0</v>
      </c>
      <c r="Q63" s="120">
        <v>44485.0</v>
      </c>
      <c r="R63" s="120">
        <v>44486.0</v>
      </c>
      <c r="S63" s="120">
        <v>44487.0</v>
      </c>
      <c r="T63" s="120">
        <v>44488.0</v>
      </c>
      <c r="U63" s="120">
        <v>44489.0</v>
      </c>
      <c r="V63" s="120">
        <v>44490.0</v>
      </c>
      <c r="W63" s="120">
        <v>44491.0</v>
      </c>
      <c r="X63" s="120">
        <v>44492.0</v>
      </c>
      <c r="Y63" s="120">
        <v>44493.0</v>
      </c>
      <c r="Z63" s="120">
        <v>44494.0</v>
      </c>
      <c r="AA63" s="120">
        <v>44495.0</v>
      </c>
      <c r="AB63" s="120">
        <v>44496.0</v>
      </c>
      <c r="AC63" s="120">
        <v>44497.0</v>
      </c>
      <c r="AD63" s="120">
        <v>44498.0</v>
      </c>
      <c r="AE63" s="120">
        <v>44499.0</v>
      </c>
      <c r="AF63" s="120">
        <v>44500.0</v>
      </c>
    </row>
    <row r="64">
      <c r="A64" s="121" t="s">
        <v>93</v>
      </c>
      <c r="B64" s="140"/>
      <c r="C64" s="140"/>
      <c r="D64" s="140"/>
      <c r="E64" s="140"/>
      <c r="F64" s="90"/>
      <c r="G64" s="141"/>
      <c r="H64" s="141"/>
      <c r="I64" s="140"/>
      <c r="J64" s="141"/>
      <c r="K64" s="141"/>
      <c r="L64" s="140"/>
      <c r="M64" s="90"/>
      <c r="N64" s="140"/>
      <c r="O64" s="140"/>
      <c r="P64" s="90"/>
      <c r="Q64" s="90"/>
      <c r="R64" s="122"/>
      <c r="S64" s="122"/>
      <c r="T64" s="123"/>
      <c r="U64" s="122"/>
      <c r="V64" s="122"/>
      <c r="W64" s="122"/>
      <c r="X64" s="123"/>
      <c r="Y64" s="123"/>
      <c r="Z64" s="122"/>
      <c r="AA64" s="122"/>
      <c r="AB64" s="122"/>
      <c r="AC64" s="123"/>
      <c r="AD64" s="122"/>
      <c r="AE64" s="123"/>
      <c r="AF64" s="123"/>
    </row>
    <row r="65">
      <c r="A65" s="121" t="s">
        <v>94</v>
      </c>
      <c r="B65" s="123" t="str">
        <f t="shared" ref="B65:AF65" si="17">IFERROR(B66/B64,"-")</f>
        <v>-</v>
      </c>
      <c r="C65" s="123" t="str">
        <f t="shared" si="17"/>
        <v>-</v>
      </c>
      <c r="D65" s="123" t="str">
        <f t="shared" si="17"/>
        <v>-</v>
      </c>
      <c r="E65" s="123" t="str">
        <f t="shared" si="17"/>
        <v>-</v>
      </c>
      <c r="F65" s="123" t="str">
        <f t="shared" si="17"/>
        <v>-</v>
      </c>
      <c r="G65" s="123" t="str">
        <f t="shared" si="17"/>
        <v>-</v>
      </c>
      <c r="H65" s="123" t="str">
        <f t="shared" si="17"/>
        <v>-</v>
      </c>
      <c r="I65" s="123" t="str">
        <f t="shared" si="17"/>
        <v>-</v>
      </c>
      <c r="J65" s="123" t="str">
        <f t="shared" si="17"/>
        <v>-</v>
      </c>
      <c r="K65" s="123" t="str">
        <f t="shared" si="17"/>
        <v>-</v>
      </c>
      <c r="L65" s="123" t="str">
        <f t="shared" si="17"/>
        <v>-</v>
      </c>
      <c r="M65" s="123" t="str">
        <f t="shared" si="17"/>
        <v>-</v>
      </c>
      <c r="N65" s="123" t="str">
        <f t="shared" si="17"/>
        <v>-</v>
      </c>
      <c r="O65" s="123" t="str">
        <f t="shared" si="17"/>
        <v>-</v>
      </c>
      <c r="P65" s="123" t="str">
        <f t="shared" si="17"/>
        <v>-</v>
      </c>
      <c r="Q65" s="123" t="str">
        <f t="shared" si="17"/>
        <v>-</v>
      </c>
      <c r="R65" s="123" t="str">
        <f t="shared" si="17"/>
        <v>-</v>
      </c>
      <c r="S65" s="123" t="str">
        <f t="shared" si="17"/>
        <v>-</v>
      </c>
      <c r="T65" s="123" t="str">
        <f t="shared" si="17"/>
        <v>-</v>
      </c>
      <c r="U65" s="123" t="str">
        <f t="shared" si="17"/>
        <v>-</v>
      </c>
      <c r="V65" s="123" t="str">
        <f t="shared" si="17"/>
        <v>-</v>
      </c>
      <c r="W65" s="123" t="str">
        <f t="shared" si="17"/>
        <v>-</v>
      </c>
      <c r="X65" s="123" t="str">
        <f t="shared" si="17"/>
        <v>-</v>
      </c>
      <c r="Y65" s="123" t="str">
        <f t="shared" si="17"/>
        <v>-</v>
      </c>
      <c r="Z65" s="123" t="str">
        <f t="shared" si="17"/>
        <v>-</v>
      </c>
      <c r="AA65" s="123" t="str">
        <f t="shared" si="17"/>
        <v>-</v>
      </c>
      <c r="AB65" s="123" t="str">
        <f t="shared" si="17"/>
        <v>-</v>
      </c>
      <c r="AC65" s="123" t="str">
        <f t="shared" si="17"/>
        <v>-</v>
      </c>
      <c r="AD65" s="123" t="str">
        <f t="shared" si="17"/>
        <v>-</v>
      </c>
      <c r="AE65" s="123" t="str">
        <f t="shared" si="17"/>
        <v>-</v>
      </c>
      <c r="AF65" s="123" t="str">
        <f t="shared" si="17"/>
        <v>-</v>
      </c>
    </row>
    <row r="66">
      <c r="A66" s="121" t="s">
        <v>99</v>
      </c>
      <c r="B66" s="144"/>
      <c r="C66" s="144"/>
      <c r="D66" s="144"/>
      <c r="E66" s="142"/>
      <c r="F66" s="142"/>
      <c r="G66" s="142"/>
      <c r="H66" s="142"/>
      <c r="I66" s="142"/>
      <c r="J66" s="142"/>
      <c r="K66" s="142"/>
      <c r="L66" s="142"/>
      <c r="M66" s="145"/>
      <c r="N66" s="144"/>
      <c r="O66" s="144"/>
      <c r="P66" s="144"/>
      <c r="Q66" s="144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</row>
    <row r="68">
      <c r="A68" s="26"/>
      <c r="B68" s="27"/>
      <c r="C68" s="28"/>
      <c r="D68" s="28"/>
      <c r="E68" s="28"/>
      <c r="F68" s="29"/>
      <c r="G68" s="29"/>
      <c r="H68" s="28"/>
      <c r="I68" s="28"/>
      <c r="J68" s="29"/>
      <c r="K68" s="16"/>
      <c r="L68" s="51"/>
    </row>
    <row r="70">
      <c r="A70" s="100" t="s">
        <v>123</v>
      </c>
      <c r="B70" s="101" t="s">
        <v>1</v>
      </c>
      <c r="C70" s="102" t="s">
        <v>2</v>
      </c>
      <c r="D70" s="102" t="str">
        <f>CONCATENATE("Выполнено ",INT('ВАЖ ОП'!AJ182/'ВАЖ ОП'!AK182*100),"%")</f>
        <v>#DIV/0!</v>
      </c>
      <c r="E70" s="102" t="s">
        <v>4</v>
      </c>
      <c r="F70" s="103" t="s">
        <v>5</v>
      </c>
      <c r="G70" s="103" t="s">
        <v>6</v>
      </c>
      <c r="H70" s="104" t="s">
        <v>7</v>
      </c>
      <c r="I70" s="104" t="s">
        <v>8</v>
      </c>
      <c r="J70" s="103" t="s">
        <v>10</v>
      </c>
      <c r="K70" s="16"/>
    </row>
    <row r="71">
      <c r="A71" s="105" t="s">
        <v>93</v>
      </c>
      <c r="B71" s="9">
        <f>B77+B86+B95</f>
        <v>53</v>
      </c>
      <c r="C71" s="9">
        <f>C77+C95</f>
        <v>52</v>
      </c>
      <c r="D71" s="10">
        <f>C71/B71</f>
        <v>0.9811320755</v>
      </c>
      <c r="E71" s="9">
        <f>B71-C71</f>
        <v>1</v>
      </c>
      <c r="F71" s="9">
        <f>(C71/C74)*B74</f>
        <v>230.2857143</v>
      </c>
      <c r="G71" s="10">
        <f t="shared" ref="G71:G73" si="19">F71/B71</f>
        <v>4.345013477</v>
      </c>
      <c r="H71" s="9">
        <f>F71-B71</f>
        <v>177.2857143</v>
      </c>
      <c r="I71" s="106" t="str">
        <f>E71/('ВАЖ ОП'!AK182-'ВАЖ ОП'!AJ182)</f>
        <v>#DIV/0!</v>
      </c>
      <c r="J71" s="46" t="str">
        <f>C71/'ВАЖ ОП'!AJ182</f>
        <v>#DIV/0!</v>
      </c>
      <c r="K71" s="107"/>
    </row>
    <row r="72">
      <c r="A72" s="105" t="s">
        <v>94</v>
      </c>
      <c r="B72" s="8">
        <f t="shared" ref="B72:C72" si="18">B73/B71</f>
        <v>5458.490566</v>
      </c>
      <c r="C72" s="9">
        <f t="shared" si="18"/>
        <v>6528.063077</v>
      </c>
      <c r="D72" s="10"/>
      <c r="E72" s="109"/>
      <c r="F72" s="9" t="str">
        <f>F73/F71</f>
        <v>#DIV/0!</v>
      </c>
      <c r="G72" s="10" t="str">
        <f t="shared" si="19"/>
        <v>#DIV/0!</v>
      </c>
      <c r="H72" s="109"/>
      <c r="I72" s="109"/>
      <c r="J72" s="107"/>
      <c r="K72" s="107"/>
    </row>
    <row r="73">
      <c r="A73" s="105" t="s">
        <v>95</v>
      </c>
      <c r="B73" s="9">
        <f t="shared" ref="B73:C73" si="20">B79+B88+B97</f>
        <v>289300</v>
      </c>
      <c r="C73" s="9">
        <f t="shared" si="20"/>
        <v>339459.28</v>
      </c>
      <c r="D73" s="10">
        <f>C73/B73</f>
        <v>1.173381542</v>
      </c>
      <c r="E73" s="9">
        <f>B73-C73</f>
        <v>-50159.28</v>
      </c>
      <c r="F73" s="9" t="str">
        <f>C73/'ВАЖ ОП'!AJ182*'ВАЖ ОП'!AK182</f>
        <v>#DIV/0!</v>
      </c>
      <c r="G73" s="10" t="str">
        <f t="shared" si="19"/>
        <v>#DIV/0!</v>
      </c>
      <c r="H73" s="9" t="str">
        <f>F73-B73</f>
        <v>#DIV/0!</v>
      </c>
      <c r="I73" s="19" t="str">
        <f>E73/('ВАЖ ОП'!AK182-'ВАЖ ОП'!AJ182)</f>
        <v>#DIV/0!</v>
      </c>
      <c r="J73" s="19" t="str">
        <f>C73/'ВАЖ ОП'!AJ182</f>
        <v>#DIV/0!</v>
      </c>
      <c r="K73" s="107"/>
    </row>
    <row r="74">
      <c r="A74" s="50" t="s">
        <v>116</v>
      </c>
      <c r="B74" s="50">
        <v>31.0</v>
      </c>
      <c r="C74" s="138">
        <f>DAY(TODAY()-1)</f>
        <v>7</v>
      </c>
    </row>
    <row r="75">
      <c r="A75" s="110" t="s">
        <v>96</v>
      </c>
      <c r="B75" s="22"/>
      <c r="C75" s="23"/>
      <c r="D75" s="23"/>
      <c r="E75" s="23"/>
      <c r="F75" s="23"/>
      <c r="G75" s="23"/>
      <c r="H75" s="23"/>
      <c r="I75" s="23"/>
      <c r="J75" s="23"/>
      <c r="K75" s="24"/>
      <c r="L75" s="24"/>
    </row>
    <row r="76">
      <c r="A76" s="26" t="s">
        <v>117</v>
      </c>
      <c r="B76" s="27" t="s">
        <v>1</v>
      </c>
      <c r="C76" s="28" t="s">
        <v>2</v>
      </c>
      <c r="D76" s="28" t="str">
        <f>CONCATENATE("Выполнено ",INT('ВАЖ ОП'!AJ182/'ВАЖ ОП'!AK182*100),"%")</f>
        <v>#DIV/0!</v>
      </c>
      <c r="E76" s="28" t="s">
        <v>4</v>
      </c>
      <c r="F76" s="29" t="s">
        <v>5</v>
      </c>
      <c r="G76" s="29" t="s">
        <v>6</v>
      </c>
      <c r="H76" s="28" t="s">
        <v>7</v>
      </c>
      <c r="I76" s="28" t="s">
        <v>8</v>
      </c>
      <c r="J76" s="29" t="s">
        <v>10</v>
      </c>
      <c r="K76" s="16"/>
      <c r="L76" s="111"/>
    </row>
    <row r="77">
      <c r="A77" s="112" t="s">
        <v>93</v>
      </c>
      <c r="B77" s="113">
        <v>25.0</v>
      </c>
      <c r="C77" s="78">
        <f>SUM(B81:AE81)+SUM(B90:AE90)</f>
        <v>22</v>
      </c>
      <c r="D77" s="93">
        <f>C77/B77</f>
        <v>0.88</v>
      </c>
      <c r="E77" s="91">
        <f>B77-C77</f>
        <v>3</v>
      </c>
      <c r="F77" s="78">
        <f>(C77/C74)*B74</f>
        <v>97.42857143</v>
      </c>
      <c r="G77" s="93">
        <f t="shared" ref="G77:G79" si="22">F77/B77</f>
        <v>3.897142857</v>
      </c>
      <c r="H77" s="78">
        <f>F77-B77</f>
        <v>72.42857143</v>
      </c>
      <c r="I77" s="114" t="str">
        <f>E77/('ВАЖ ОП'!AK182-'ВАЖ ОП'!AJ182)</f>
        <v>#DIV/0!</v>
      </c>
      <c r="J77" s="115" t="str">
        <f>C77/'ВАЖ ОП'!AJ182</f>
        <v>#DIV/0!</v>
      </c>
      <c r="K77" s="116"/>
      <c r="L77" s="13"/>
    </row>
    <row r="78">
      <c r="A78" s="112" t="s">
        <v>94</v>
      </c>
      <c r="B78" s="78">
        <f t="shared" ref="B78:C78" si="21">B79/B77</f>
        <v>4840</v>
      </c>
      <c r="C78" s="78">
        <f t="shared" si="21"/>
        <v>7193.347273</v>
      </c>
      <c r="D78" s="93"/>
      <c r="E78" s="79"/>
      <c r="F78" s="78" t="str">
        <f>F79/F77</f>
        <v>#DIV/0!</v>
      </c>
      <c r="G78" s="93" t="str">
        <f t="shared" si="22"/>
        <v>#DIV/0!</v>
      </c>
      <c r="H78" s="116"/>
      <c r="I78" s="117"/>
      <c r="J78" s="116"/>
      <c r="K78" s="116"/>
      <c r="L78" s="13"/>
    </row>
    <row r="79">
      <c r="A79" s="112" t="s">
        <v>95</v>
      </c>
      <c r="B79" s="113">
        <v>121000.0</v>
      </c>
      <c r="C79" s="78">
        <f>SUM(B83:AE83)+SUM(B92:AE92)</f>
        <v>158253.64</v>
      </c>
      <c r="D79" s="93">
        <f>C79/B79</f>
        <v>1.307881322</v>
      </c>
      <c r="E79" s="78">
        <f>B79-C79</f>
        <v>-37253.64</v>
      </c>
      <c r="F79" s="78" t="str">
        <f>C79/'ВАЖ ОП'!AJ182*'ВАЖ ОП'!AK182</f>
        <v>#DIV/0!</v>
      </c>
      <c r="G79" s="93" t="str">
        <f t="shared" si="22"/>
        <v>#DIV/0!</v>
      </c>
      <c r="H79" s="78" t="str">
        <f>F79-B79</f>
        <v>#DIV/0!</v>
      </c>
      <c r="I79" s="78" t="str">
        <f>E79/('ВАЖ ОП'!AK182-'ВАЖ ОП'!AJ182)</f>
        <v>#DIV/0!</v>
      </c>
      <c r="J79" s="91" t="str">
        <f>C79/'ВАЖ ОП'!AJ182</f>
        <v>#DIV/0!</v>
      </c>
      <c r="K79" s="118"/>
      <c r="L79" s="13"/>
    </row>
    <row r="80">
      <c r="A80" s="119" t="s">
        <v>98</v>
      </c>
      <c r="B80" s="120">
        <v>44501.0</v>
      </c>
      <c r="C80" s="120">
        <v>44502.0</v>
      </c>
      <c r="D80" s="120">
        <v>44503.0</v>
      </c>
      <c r="E80" s="120">
        <v>44504.0</v>
      </c>
      <c r="F80" s="120">
        <v>44505.0</v>
      </c>
      <c r="G80" s="120">
        <v>44506.0</v>
      </c>
      <c r="H80" s="120">
        <v>44507.0</v>
      </c>
      <c r="I80" s="120">
        <v>44508.0</v>
      </c>
      <c r="J80" s="120">
        <v>44509.0</v>
      </c>
      <c r="K80" s="120">
        <v>44510.0</v>
      </c>
      <c r="L80" s="120">
        <v>44511.0</v>
      </c>
      <c r="M80" s="120">
        <v>44512.0</v>
      </c>
      <c r="N80" s="120">
        <v>44513.0</v>
      </c>
      <c r="O80" s="120">
        <v>44514.0</v>
      </c>
      <c r="P80" s="120">
        <v>44515.0</v>
      </c>
      <c r="Q80" s="120">
        <v>44516.0</v>
      </c>
      <c r="R80" s="120">
        <v>44517.0</v>
      </c>
      <c r="S80" s="120">
        <v>44518.0</v>
      </c>
      <c r="T80" s="120">
        <v>44519.0</v>
      </c>
      <c r="U80" s="120">
        <v>44520.0</v>
      </c>
      <c r="V80" s="120">
        <v>44521.0</v>
      </c>
      <c r="W80" s="120">
        <v>44522.0</v>
      </c>
      <c r="X80" s="120">
        <v>44523.0</v>
      </c>
      <c r="Y80" s="120">
        <v>44524.0</v>
      </c>
      <c r="Z80" s="120">
        <v>44525.0</v>
      </c>
      <c r="AA80" s="120">
        <v>44526.0</v>
      </c>
      <c r="AB80" s="120">
        <v>44527.0</v>
      </c>
      <c r="AC80" s="120">
        <v>44528.0</v>
      </c>
      <c r="AD80" s="120">
        <v>44529.0</v>
      </c>
      <c r="AE80" s="120">
        <v>44530.0</v>
      </c>
      <c r="AF80" s="120">
        <v>44500.0</v>
      </c>
    </row>
    <row r="81">
      <c r="A81" s="121" t="s">
        <v>93</v>
      </c>
      <c r="B81" s="122"/>
      <c r="C81" s="122">
        <v>1.0</v>
      </c>
      <c r="D81" s="123"/>
      <c r="E81" s="122"/>
      <c r="F81" s="122">
        <v>1.0</v>
      </c>
      <c r="G81" s="122"/>
      <c r="H81" s="122">
        <v>1.0</v>
      </c>
      <c r="I81" s="122">
        <v>1.0</v>
      </c>
      <c r="J81" s="123"/>
      <c r="K81" s="122">
        <v>2.0</v>
      </c>
      <c r="L81" s="123"/>
      <c r="M81" s="122">
        <v>1.0</v>
      </c>
      <c r="N81" s="122">
        <v>1.0</v>
      </c>
      <c r="O81" s="122"/>
      <c r="P81" s="122">
        <v>1.0</v>
      </c>
      <c r="Q81" s="122">
        <v>1.0</v>
      </c>
      <c r="R81" s="122"/>
      <c r="S81" s="122"/>
      <c r="T81" s="122"/>
      <c r="U81" s="122">
        <v>1.0</v>
      </c>
      <c r="V81" s="122"/>
      <c r="W81" s="122">
        <v>1.0</v>
      </c>
      <c r="X81" s="123"/>
      <c r="Y81" s="122"/>
      <c r="Z81" s="122"/>
      <c r="AA81" s="122"/>
      <c r="AB81" s="122"/>
      <c r="AC81" s="122"/>
      <c r="AD81" s="122"/>
      <c r="AE81" s="123"/>
      <c r="AF81" s="123"/>
    </row>
    <row r="82">
      <c r="A82" s="121" t="s">
        <v>94</v>
      </c>
      <c r="B82" s="123" t="str">
        <f t="shared" ref="B82:AF82" si="23">IFERROR(B83/B81,"-")</f>
        <v>-</v>
      </c>
      <c r="C82" s="123">
        <f t="shared" si="23"/>
        <v>3828.08</v>
      </c>
      <c r="D82" s="123" t="str">
        <f t="shared" si="23"/>
        <v>-</v>
      </c>
      <c r="E82" s="123" t="str">
        <f t="shared" si="23"/>
        <v>-</v>
      </c>
      <c r="F82" s="123">
        <f t="shared" si="23"/>
        <v>9631.42</v>
      </c>
      <c r="G82" s="123" t="str">
        <f t="shared" si="23"/>
        <v>-</v>
      </c>
      <c r="H82" s="123">
        <f t="shared" si="23"/>
        <v>4294.25</v>
      </c>
      <c r="I82" s="123">
        <f t="shared" si="23"/>
        <v>0</v>
      </c>
      <c r="J82" s="123" t="str">
        <f t="shared" si="23"/>
        <v>-</v>
      </c>
      <c r="K82" s="123">
        <f t="shared" si="23"/>
        <v>3655.5</v>
      </c>
      <c r="L82" s="123" t="str">
        <f t="shared" si="23"/>
        <v>-</v>
      </c>
      <c r="M82" s="123">
        <f t="shared" si="23"/>
        <v>5886</v>
      </c>
      <c r="N82" s="123">
        <f t="shared" si="23"/>
        <v>379</v>
      </c>
      <c r="O82" s="123" t="str">
        <f t="shared" si="23"/>
        <v>-</v>
      </c>
      <c r="P82" s="123">
        <f t="shared" si="23"/>
        <v>5264.54</v>
      </c>
      <c r="Q82" s="123">
        <f t="shared" si="23"/>
        <v>9735.83</v>
      </c>
      <c r="R82" s="123" t="str">
        <f t="shared" si="23"/>
        <v>-</v>
      </c>
      <c r="S82" s="123" t="str">
        <f t="shared" si="23"/>
        <v>-</v>
      </c>
      <c r="T82" s="123" t="str">
        <f t="shared" si="23"/>
        <v>-</v>
      </c>
      <c r="U82" s="123">
        <f t="shared" si="23"/>
        <v>5571.43</v>
      </c>
      <c r="V82" s="123" t="str">
        <f t="shared" si="23"/>
        <v>-</v>
      </c>
      <c r="W82" s="123">
        <f t="shared" si="23"/>
        <v>2326.7</v>
      </c>
      <c r="X82" s="123" t="str">
        <f t="shared" si="23"/>
        <v>-</v>
      </c>
      <c r="Y82" s="123" t="str">
        <f t="shared" si="23"/>
        <v>-</v>
      </c>
      <c r="Z82" s="123" t="str">
        <f t="shared" si="23"/>
        <v>-</v>
      </c>
      <c r="AA82" s="123" t="str">
        <f t="shared" si="23"/>
        <v>-</v>
      </c>
      <c r="AB82" s="123" t="str">
        <f t="shared" si="23"/>
        <v>-</v>
      </c>
      <c r="AC82" s="123" t="str">
        <f t="shared" si="23"/>
        <v>-</v>
      </c>
      <c r="AD82" s="123" t="str">
        <f t="shared" si="23"/>
        <v>-</v>
      </c>
      <c r="AE82" s="123" t="str">
        <f t="shared" si="23"/>
        <v>-</v>
      </c>
      <c r="AF82" s="123" t="str">
        <f t="shared" si="23"/>
        <v>-</v>
      </c>
    </row>
    <row r="83">
      <c r="A83" s="121" t="s">
        <v>99</v>
      </c>
      <c r="B83" s="122">
        <v>3498.58</v>
      </c>
      <c r="C83" s="122">
        <v>3828.08</v>
      </c>
      <c r="D83" s="122">
        <v>10854.42</v>
      </c>
      <c r="E83" s="122">
        <v>7187.53</v>
      </c>
      <c r="F83" s="122">
        <v>9631.42</v>
      </c>
      <c r="G83" s="122">
        <v>2081.76</v>
      </c>
      <c r="H83" s="122">
        <v>4294.25</v>
      </c>
      <c r="I83" s="122"/>
      <c r="J83" s="122">
        <v>1808.87</v>
      </c>
      <c r="K83" s="122">
        <v>7311.0</v>
      </c>
      <c r="L83" s="122">
        <v>2187.36</v>
      </c>
      <c r="M83" s="122">
        <v>5886.0</v>
      </c>
      <c r="N83" s="122">
        <v>379.0</v>
      </c>
      <c r="O83" s="122"/>
      <c r="P83" s="122">
        <v>5264.54</v>
      </c>
      <c r="Q83" s="122">
        <v>9735.83</v>
      </c>
      <c r="R83" s="122">
        <v>3861.3</v>
      </c>
      <c r="S83" s="122">
        <v>7702.02</v>
      </c>
      <c r="T83" s="122">
        <v>5221.69</v>
      </c>
      <c r="U83" s="122">
        <v>5571.43</v>
      </c>
      <c r="V83" s="122">
        <v>5972.29</v>
      </c>
      <c r="W83" s="122">
        <v>2326.7</v>
      </c>
      <c r="X83" s="122">
        <v>5416.06</v>
      </c>
      <c r="Y83" s="122">
        <v>5876.24</v>
      </c>
      <c r="Z83" s="122">
        <v>6775.15</v>
      </c>
      <c r="AA83" s="122">
        <v>6412.13</v>
      </c>
      <c r="AB83" s="122">
        <v>1908.36</v>
      </c>
      <c r="AC83" s="122">
        <v>2079.95</v>
      </c>
      <c r="AD83" s="122">
        <v>4098.29</v>
      </c>
      <c r="AE83" s="122">
        <v>4970.86</v>
      </c>
      <c r="AF83" s="122"/>
    </row>
    <row r="84">
      <c r="A84" s="51"/>
      <c r="B84" s="87"/>
      <c r="C84" s="85"/>
      <c r="D84" s="85"/>
      <c r="E84" s="85"/>
      <c r="F84" s="85"/>
      <c r="G84" s="85"/>
      <c r="H84" s="85"/>
      <c r="I84" s="85"/>
      <c r="J84" s="85"/>
      <c r="K84" s="51"/>
      <c r="L84" s="51"/>
    </row>
    <row r="85">
      <c r="A85" s="26" t="s">
        <v>106</v>
      </c>
      <c r="B85" s="27" t="s">
        <v>1</v>
      </c>
      <c r="C85" s="28" t="s">
        <v>2</v>
      </c>
      <c r="D85" s="28" t="str">
        <f>CONCATENATE("Выполнено ",INT('ВАЖ ОП'!AJ182/'ВАЖ ОП'!AK182*100),"%")</f>
        <v>#DIV/0!</v>
      </c>
      <c r="E85" s="28" t="s">
        <v>4</v>
      </c>
      <c r="F85" s="29" t="s">
        <v>5</v>
      </c>
      <c r="G85" s="29" t="s">
        <v>6</v>
      </c>
      <c r="H85" s="28" t="s">
        <v>7</v>
      </c>
      <c r="I85" s="28" t="s">
        <v>8</v>
      </c>
      <c r="J85" s="29" t="s">
        <v>10</v>
      </c>
      <c r="K85" s="16"/>
      <c r="L85" s="51"/>
    </row>
    <row r="86">
      <c r="A86" s="112" t="s">
        <v>93</v>
      </c>
      <c r="B86" s="113">
        <v>5.0</v>
      </c>
      <c r="C86" s="78">
        <f>SUM(B90:AE90)</f>
        <v>10</v>
      </c>
      <c r="D86" s="135"/>
      <c r="E86" s="91"/>
      <c r="F86" s="78">
        <f>(C86/C74)*B74</f>
        <v>44.28571429</v>
      </c>
      <c r="G86" s="136"/>
      <c r="H86" s="78"/>
      <c r="I86" s="114"/>
      <c r="J86" s="115" t="str">
        <f>C86/'ВАЖ ОП'!AJ182</f>
        <v>#DIV/0!</v>
      </c>
      <c r="K86" s="13"/>
      <c r="L86" s="13"/>
    </row>
    <row r="87">
      <c r="A87" s="112" t="s">
        <v>94</v>
      </c>
      <c r="B87" s="78">
        <f>B88/B86</f>
        <v>6300</v>
      </c>
      <c r="C87" s="132">
        <f>IFERROR(C88/C86,"-")</f>
        <v>1611.253</v>
      </c>
      <c r="D87" s="93"/>
      <c r="E87" s="84"/>
      <c r="F87" s="132" t="str">
        <f>IFERROR(F88/F86,"-")</f>
        <v>-</v>
      </c>
      <c r="H87" s="79"/>
      <c r="I87" s="78"/>
      <c r="J87" s="116"/>
      <c r="K87" s="13"/>
      <c r="L87" s="13"/>
    </row>
    <row r="88">
      <c r="A88" s="112" t="s">
        <v>95</v>
      </c>
      <c r="B88" s="113">
        <v>31500.0</v>
      </c>
      <c r="C88" s="78">
        <f>SUM(B92:AE92)</f>
        <v>16112.53</v>
      </c>
      <c r="D88" s="135"/>
      <c r="E88" s="78"/>
      <c r="F88" s="78" t="str">
        <f>C88/'ВАЖ ОП'!AJ182*'ВАЖ ОП'!AK182</f>
        <v>#DIV/0!</v>
      </c>
      <c r="G88" s="136"/>
      <c r="H88" s="78"/>
      <c r="I88" s="78"/>
      <c r="J88" s="91" t="str">
        <f>C88/'ВАЖ ОП'!AJ182</f>
        <v>#DIV/0!</v>
      </c>
      <c r="K88" s="87"/>
      <c r="L88" s="13"/>
    </row>
    <row r="89">
      <c r="A89" s="119" t="s">
        <v>108</v>
      </c>
      <c r="B89" s="120">
        <v>44501.0</v>
      </c>
      <c r="C89" s="120">
        <v>44502.0</v>
      </c>
      <c r="D89" s="120">
        <v>44503.0</v>
      </c>
      <c r="E89" s="120">
        <v>44504.0</v>
      </c>
      <c r="F89" s="120">
        <v>44505.0</v>
      </c>
      <c r="G89" s="120">
        <v>44506.0</v>
      </c>
      <c r="H89" s="120">
        <v>44507.0</v>
      </c>
      <c r="I89" s="120">
        <v>44508.0</v>
      </c>
      <c r="J89" s="120">
        <v>44509.0</v>
      </c>
      <c r="K89" s="120">
        <v>44510.0</v>
      </c>
      <c r="L89" s="120">
        <v>44511.0</v>
      </c>
      <c r="M89" s="120">
        <v>44512.0</v>
      </c>
      <c r="N89" s="120">
        <v>44513.0</v>
      </c>
      <c r="O89" s="120">
        <v>44514.0</v>
      </c>
      <c r="P89" s="120">
        <v>44515.0</v>
      </c>
      <c r="Q89" s="120">
        <v>44516.0</v>
      </c>
      <c r="R89" s="120">
        <v>44517.0</v>
      </c>
      <c r="S89" s="120">
        <v>44518.0</v>
      </c>
      <c r="T89" s="120">
        <v>44519.0</v>
      </c>
      <c r="U89" s="120">
        <v>44520.0</v>
      </c>
      <c r="V89" s="120">
        <v>44521.0</v>
      </c>
      <c r="W89" s="120">
        <v>44522.0</v>
      </c>
      <c r="X89" s="120">
        <v>44523.0</v>
      </c>
      <c r="Y89" s="120">
        <v>44524.0</v>
      </c>
      <c r="Z89" s="120">
        <v>44525.0</v>
      </c>
      <c r="AA89" s="120">
        <v>44526.0</v>
      </c>
      <c r="AB89" s="120">
        <v>44527.0</v>
      </c>
      <c r="AC89" s="120">
        <v>44528.0</v>
      </c>
      <c r="AD89" s="120">
        <v>44529.0</v>
      </c>
      <c r="AE89" s="120">
        <v>44530.0</v>
      </c>
      <c r="AF89" s="120">
        <v>44500.0</v>
      </c>
    </row>
    <row r="90">
      <c r="A90" s="121" t="s">
        <v>93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>
        <v>1.0</v>
      </c>
      <c r="L90" s="122">
        <v>1.0</v>
      </c>
      <c r="M90" s="122">
        <v>2.0</v>
      </c>
      <c r="N90" s="122"/>
      <c r="O90" s="122"/>
      <c r="P90" s="122">
        <v>1.0</v>
      </c>
      <c r="Q90" s="122">
        <v>1.0</v>
      </c>
      <c r="R90" s="123"/>
      <c r="S90" s="122">
        <v>2.0</v>
      </c>
      <c r="T90" s="122"/>
      <c r="U90" s="122"/>
      <c r="V90" s="122">
        <v>2.0</v>
      </c>
      <c r="W90" s="122"/>
      <c r="X90" s="122"/>
      <c r="Y90" s="122"/>
      <c r="Z90" s="123"/>
      <c r="AA90" s="123"/>
      <c r="AB90" s="123"/>
      <c r="AC90" s="123"/>
      <c r="AD90" s="123"/>
      <c r="AE90" s="123"/>
      <c r="AF90" s="123"/>
    </row>
    <row r="91">
      <c r="A91" s="121" t="s">
        <v>94</v>
      </c>
      <c r="B91" s="123" t="str">
        <f t="shared" ref="B91:AF91" si="24">IFERROR(B92/B90,"-")</f>
        <v>-</v>
      </c>
      <c r="C91" s="123" t="str">
        <f t="shared" si="24"/>
        <v>-</v>
      </c>
      <c r="D91" s="123" t="str">
        <f t="shared" si="24"/>
        <v>-</v>
      </c>
      <c r="E91" s="123" t="str">
        <f t="shared" si="24"/>
        <v>-</v>
      </c>
      <c r="F91" s="123" t="str">
        <f t="shared" si="24"/>
        <v>-</v>
      </c>
      <c r="G91" s="123" t="str">
        <f t="shared" si="24"/>
        <v>-</v>
      </c>
      <c r="H91" s="123" t="str">
        <f t="shared" si="24"/>
        <v>-</v>
      </c>
      <c r="I91" s="123" t="str">
        <f t="shared" si="24"/>
        <v>-</v>
      </c>
      <c r="J91" s="123" t="str">
        <f t="shared" si="24"/>
        <v>-</v>
      </c>
      <c r="K91" s="123">
        <f t="shared" si="24"/>
        <v>5878.33</v>
      </c>
      <c r="L91" s="123">
        <f t="shared" si="24"/>
        <v>0</v>
      </c>
      <c r="M91" s="123">
        <f t="shared" si="24"/>
        <v>1500</v>
      </c>
      <c r="N91" s="123" t="str">
        <f t="shared" si="24"/>
        <v>-</v>
      </c>
      <c r="O91" s="123" t="str">
        <f t="shared" si="24"/>
        <v>-</v>
      </c>
      <c r="P91" s="123">
        <f t="shared" si="24"/>
        <v>0</v>
      </c>
      <c r="Q91" s="123">
        <f t="shared" si="24"/>
        <v>1999.63</v>
      </c>
      <c r="R91" s="123" t="str">
        <f t="shared" si="24"/>
        <v>-</v>
      </c>
      <c r="S91" s="123">
        <f t="shared" si="24"/>
        <v>0</v>
      </c>
      <c r="T91" s="123" t="str">
        <f t="shared" si="24"/>
        <v>-</v>
      </c>
      <c r="U91" s="123" t="str">
        <f t="shared" si="24"/>
        <v>-</v>
      </c>
      <c r="V91" s="123">
        <f t="shared" si="24"/>
        <v>2617.285</v>
      </c>
      <c r="W91" s="123" t="str">
        <f t="shared" si="24"/>
        <v>-</v>
      </c>
      <c r="X91" s="123" t="str">
        <f t="shared" si="24"/>
        <v>-</v>
      </c>
      <c r="Y91" s="123" t="str">
        <f t="shared" si="24"/>
        <v>-</v>
      </c>
      <c r="Z91" s="123" t="str">
        <f t="shared" si="24"/>
        <v>-</v>
      </c>
      <c r="AA91" s="123" t="str">
        <f t="shared" si="24"/>
        <v>-</v>
      </c>
      <c r="AB91" s="123" t="str">
        <f t="shared" si="24"/>
        <v>-</v>
      </c>
      <c r="AC91" s="123" t="str">
        <f t="shared" si="24"/>
        <v>-</v>
      </c>
      <c r="AD91" s="123" t="str">
        <f t="shared" si="24"/>
        <v>-</v>
      </c>
      <c r="AE91" s="123" t="str">
        <f t="shared" si="24"/>
        <v>-</v>
      </c>
      <c r="AF91" s="123" t="str">
        <f t="shared" si="24"/>
        <v>-</v>
      </c>
    </row>
    <row r="92">
      <c r="A92" s="121" t="s">
        <v>99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>
        <v>5878.33</v>
      </c>
      <c r="L92" s="122"/>
      <c r="M92" s="122">
        <v>3000.0</v>
      </c>
      <c r="N92" s="122"/>
      <c r="O92" s="122"/>
      <c r="P92" s="122"/>
      <c r="Q92" s="122">
        <v>1999.63</v>
      </c>
      <c r="R92" s="123"/>
      <c r="S92" s="123"/>
      <c r="T92" s="123"/>
      <c r="U92" s="123"/>
      <c r="V92" s="122">
        <v>5234.57</v>
      </c>
      <c r="W92" s="122"/>
      <c r="X92" s="123"/>
      <c r="Y92" s="122"/>
      <c r="Z92" s="122"/>
      <c r="AA92" s="123"/>
      <c r="AB92" s="123"/>
      <c r="AC92" s="123"/>
      <c r="AD92" s="123"/>
      <c r="AE92" s="123"/>
      <c r="AF92" s="123"/>
    </row>
    <row r="93">
      <c r="A93" s="35"/>
      <c r="B93" s="53"/>
      <c r="C93" s="53"/>
      <c r="D93" s="53"/>
      <c r="E93" s="53"/>
      <c r="F93" s="55"/>
      <c r="G93" s="55"/>
      <c r="H93" s="54"/>
      <c r="I93" s="54"/>
      <c r="J93" s="54"/>
      <c r="K93" s="54"/>
      <c r="L93" s="54"/>
    </row>
    <row r="94">
      <c r="A94" s="26" t="s">
        <v>118</v>
      </c>
      <c r="B94" s="27" t="s">
        <v>1</v>
      </c>
      <c r="C94" s="28" t="s">
        <v>2</v>
      </c>
      <c r="D94" s="28" t="str">
        <f>CONCATENATE("Выполнено ",INT('ВАЖ ОП'!AJ182/'ВАЖ ОП'!AK182*100),"%")</f>
        <v>#DIV/0!</v>
      </c>
      <c r="E94" s="28" t="s">
        <v>4</v>
      </c>
      <c r="F94" s="29" t="s">
        <v>5</v>
      </c>
      <c r="G94" s="29" t="s">
        <v>6</v>
      </c>
      <c r="H94" s="28" t="s">
        <v>7</v>
      </c>
      <c r="I94" s="28" t="s">
        <v>8</v>
      </c>
      <c r="J94" s="29" t="s">
        <v>10</v>
      </c>
      <c r="K94" s="16"/>
      <c r="L94" s="51"/>
    </row>
    <row r="95">
      <c r="A95" s="112" t="s">
        <v>93</v>
      </c>
      <c r="B95" s="113">
        <v>23.0</v>
      </c>
      <c r="C95" s="78">
        <f>SUM(B99:AE99)</f>
        <v>30</v>
      </c>
      <c r="D95" s="93">
        <f>C95/B95</f>
        <v>1.304347826</v>
      </c>
      <c r="E95" s="91">
        <f>B95-C95</f>
        <v>-7</v>
      </c>
      <c r="F95" s="78">
        <f>(C95/C74)*B74</f>
        <v>132.8571429</v>
      </c>
      <c r="G95" s="129">
        <f t="shared" ref="G95:G97" si="26">F95/B95</f>
        <v>5.776397516</v>
      </c>
      <c r="H95" s="78">
        <f>F95-B95</f>
        <v>109.8571429</v>
      </c>
      <c r="I95" s="114" t="str">
        <f>E95/('ВАЖ ОП'!AK182-'ВАЖ ОП'!AJ182)</f>
        <v>#DIV/0!</v>
      </c>
      <c r="J95" s="115" t="str">
        <f>C95/'ВАЖ ОП'!AJ182</f>
        <v>#DIV/0!</v>
      </c>
      <c r="K95" s="79"/>
      <c r="L95" s="79"/>
    </row>
    <row r="96">
      <c r="A96" s="112" t="s">
        <v>94</v>
      </c>
      <c r="B96" s="78">
        <f t="shared" ref="B96:C96" si="25">B97/B95</f>
        <v>5947.826087</v>
      </c>
      <c r="C96" s="78">
        <f t="shared" si="25"/>
        <v>5503.103667</v>
      </c>
      <c r="D96" s="93"/>
      <c r="E96" s="79"/>
      <c r="F96" s="78" t="str">
        <f>F97/F95</f>
        <v>#DIV/0!</v>
      </c>
      <c r="G96" s="93" t="str">
        <f t="shared" si="26"/>
        <v>#DIV/0!</v>
      </c>
      <c r="H96" s="79"/>
      <c r="I96" s="78"/>
      <c r="J96" s="116"/>
      <c r="K96" s="79"/>
      <c r="L96" s="79"/>
    </row>
    <row r="97">
      <c r="A97" s="112" t="s">
        <v>95</v>
      </c>
      <c r="B97" s="113">
        <v>136800.0</v>
      </c>
      <c r="C97" s="78">
        <f>SUM(B101:AE101)</f>
        <v>165093.11</v>
      </c>
      <c r="D97" s="93">
        <f>C97/B97</f>
        <v>1.20682098</v>
      </c>
      <c r="E97" s="78">
        <f>B97-C97</f>
        <v>-28293.11</v>
      </c>
      <c r="F97" s="78" t="str">
        <f>C97/'ВАЖ ОП'!AJ182*'ВАЖ ОП'!AK182</f>
        <v>#DIV/0!</v>
      </c>
      <c r="G97" s="129" t="str">
        <f t="shared" si="26"/>
        <v>#DIV/0!</v>
      </c>
      <c r="H97" s="78" t="str">
        <f>F97-B97</f>
        <v>#DIV/0!</v>
      </c>
      <c r="I97" s="78" t="str">
        <f>E97/('ВАЖ ОП'!AK182-'ВАЖ ОП'!AJ182)</f>
        <v>#DIV/0!</v>
      </c>
      <c r="J97" s="91" t="str">
        <f>C97/'ВАЖ ОП'!AJ182</f>
        <v>#DIV/0!</v>
      </c>
      <c r="K97" s="79"/>
      <c r="L97" s="79"/>
    </row>
    <row r="98">
      <c r="A98" s="119" t="s">
        <v>101</v>
      </c>
      <c r="B98" s="120">
        <v>44501.0</v>
      </c>
      <c r="C98" s="120">
        <v>44502.0</v>
      </c>
      <c r="D98" s="120">
        <v>44503.0</v>
      </c>
      <c r="E98" s="120">
        <v>44504.0</v>
      </c>
      <c r="F98" s="120">
        <v>44505.0</v>
      </c>
      <c r="G98" s="120">
        <v>44506.0</v>
      </c>
      <c r="H98" s="120">
        <v>44507.0</v>
      </c>
      <c r="I98" s="120">
        <v>44508.0</v>
      </c>
      <c r="J98" s="120">
        <v>44509.0</v>
      </c>
      <c r="K98" s="120">
        <v>44510.0</v>
      </c>
      <c r="L98" s="120">
        <v>44511.0</v>
      </c>
      <c r="M98" s="120">
        <v>44512.0</v>
      </c>
      <c r="N98" s="120">
        <v>44513.0</v>
      </c>
      <c r="O98" s="120">
        <v>44514.0</v>
      </c>
      <c r="P98" s="120">
        <v>44515.0</v>
      </c>
      <c r="Q98" s="120">
        <v>44516.0</v>
      </c>
      <c r="R98" s="120">
        <v>44517.0</v>
      </c>
      <c r="S98" s="120">
        <v>44518.0</v>
      </c>
      <c r="T98" s="120">
        <v>44519.0</v>
      </c>
      <c r="U98" s="120">
        <v>44520.0</v>
      </c>
      <c r="V98" s="120">
        <v>44521.0</v>
      </c>
      <c r="W98" s="120">
        <v>44522.0</v>
      </c>
      <c r="X98" s="120">
        <v>44523.0</v>
      </c>
      <c r="Y98" s="120">
        <v>44524.0</v>
      </c>
      <c r="Z98" s="120">
        <v>44525.0</v>
      </c>
      <c r="AA98" s="120">
        <v>44526.0</v>
      </c>
      <c r="AB98" s="120">
        <v>44527.0</v>
      </c>
      <c r="AC98" s="120">
        <v>44528.0</v>
      </c>
      <c r="AD98" s="120">
        <v>44529.0</v>
      </c>
      <c r="AE98" s="120">
        <v>44530.0</v>
      </c>
      <c r="AF98" s="120">
        <v>44500.0</v>
      </c>
    </row>
    <row r="99">
      <c r="A99" s="121" t="s">
        <v>93</v>
      </c>
      <c r="B99" s="139">
        <v>1.0</v>
      </c>
      <c r="C99" s="139">
        <v>3.0</v>
      </c>
      <c r="D99" s="139">
        <v>1.0</v>
      </c>
      <c r="E99" s="140"/>
      <c r="F99" s="90"/>
      <c r="G99" s="141">
        <v>1.0</v>
      </c>
      <c r="H99" s="141"/>
      <c r="I99" s="139">
        <v>1.0</v>
      </c>
      <c r="J99" s="141"/>
      <c r="K99" s="141">
        <v>1.0</v>
      </c>
      <c r="L99" s="139"/>
      <c r="M99" s="90"/>
      <c r="N99" s="139">
        <v>3.0</v>
      </c>
      <c r="O99" s="139">
        <v>1.0</v>
      </c>
      <c r="P99" s="141">
        <v>1.0</v>
      </c>
      <c r="Q99" s="141"/>
      <c r="R99" s="122">
        <v>2.0</v>
      </c>
      <c r="S99" s="122">
        <v>1.0</v>
      </c>
      <c r="T99" s="122">
        <v>1.0</v>
      </c>
      <c r="U99" s="122"/>
      <c r="V99" s="122">
        <v>1.0</v>
      </c>
      <c r="W99" s="122">
        <v>1.0</v>
      </c>
      <c r="X99" s="122">
        <v>1.0</v>
      </c>
      <c r="Y99" s="122"/>
      <c r="Z99" s="122"/>
      <c r="AA99" s="122"/>
      <c r="AB99" s="122">
        <v>2.0</v>
      </c>
      <c r="AC99" s="122">
        <v>4.0</v>
      </c>
      <c r="AD99" s="122">
        <v>3.0</v>
      </c>
      <c r="AE99" s="122">
        <v>1.0</v>
      </c>
      <c r="AF99" s="123"/>
    </row>
    <row r="100">
      <c r="A100" s="121" t="s">
        <v>94</v>
      </c>
      <c r="B100" s="123">
        <f t="shared" ref="B100:AF100" si="27">IFERROR(B101/B99,"-")</f>
        <v>7758.05</v>
      </c>
      <c r="C100" s="123">
        <f t="shared" si="27"/>
        <v>2736.2</v>
      </c>
      <c r="D100" s="123">
        <f t="shared" si="27"/>
        <v>9032.82</v>
      </c>
      <c r="E100" s="123" t="str">
        <f t="shared" si="27"/>
        <v>-</v>
      </c>
      <c r="F100" s="123" t="str">
        <f t="shared" si="27"/>
        <v>-</v>
      </c>
      <c r="G100" s="123">
        <f t="shared" si="27"/>
        <v>3707.44</v>
      </c>
      <c r="H100" s="123" t="str">
        <f t="shared" si="27"/>
        <v>-</v>
      </c>
      <c r="I100" s="123">
        <f t="shared" si="27"/>
        <v>2086.3</v>
      </c>
      <c r="J100" s="123" t="str">
        <f t="shared" si="27"/>
        <v>-</v>
      </c>
      <c r="K100" s="123">
        <f t="shared" si="27"/>
        <v>5783.11</v>
      </c>
      <c r="L100" s="123" t="str">
        <f t="shared" si="27"/>
        <v>-</v>
      </c>
      <c r="M100" s="123" t="str">
        <f t="shared" si="27"/>
        <v>-</v>
      </c>
      <c r="N100" s="123">
        <f t="shared" si="27"/>
        <v>2066.286667</v>
      </c>
      <c r="O100" s="123">
        <f t="shared" si="27"/>
        <v>4249.06</v>
      </c>
      <c r="P100" s="123">
        <f t="shared" si="27"/>
        <v>5741.88</v>
      </c>
      <c r="Q100" s="123" t="str">
        <f t="shared" si="27"/>
        <v>-</v>
      </c>
      <c r="R100" s="123">
        <f t="shared" si="27"/>
        <v>3481.325</v>
      </c>
      <c r="S100" s="123">
        <f t="shared" si="27"/>
        <v>7129.54</v>
      </c>
      <c r="T100" s="123">
        <f t="shared" si="27"/>
        <v>5895.1</v>
      </c>
      <c r="U100" s="123" t="str">
        <f t="shared" si="27"/>
        <v>-</v>
      </c>
      <c r="V100" s="123">
        <f t="shared" si="27"/>
        <v>4130.26</v>
      </c>
      <c r="W100" s="123">
        <f t="shared" si="27"/>
        <v>7011.07</v>
      </c>
      <c r="X100" s="123">
        <f t="shared" si="27"/>
        <v>3958.2</v>
      </c>
      <c r="Y100" s="123" t="str">
        <f t="shared" si="27"/>
        <v>-</v>
      </c>
      <c r="Z100" s="123" t="str">
        <f t="shared" si="27"/>
        <v>-</v>
      </c>
      <c r="AA100" s="123" t="str">
        <f t="shared" si="27"/>
        <v>-</v>
      </c>
      <c r="AB100" s="123">
        <f t="shared" si="27"/>
        <v>3610.095</v>
      </c>
      <c r="AC100" s="123">
        <f t="shared" si="27"/>
        <v>1301.085</v>
      </c>
      <c r="AD100" s="123">
        <f t="shared" si="27"/>
        <v>2617.316667</v>
      </c>
      <c r="AE100" s="123">
        <f t="shared" si="27"/>
        <v>7326.42</v>
      </c>
      <c r="AF100" s="123" t="str">
        <f t="shared" si="27"/>
        <v>-</v>
      </c>
    </row>
    <row r="101">
      <c r="A101" s="121" t="s">
        <v>99</v>
      </c>
      <c r="B101" s="142">
        <v>7758.05</v>
      </c>
      <c r="C101" s="142">
        <v>8208.6</v>
      </c>
      <c r="D101" s="142">
        <v>9032.82</v>
      </c>
      <c r="E101" s="142">
        <v>7690.28</v>
      </c>
      <c r="F101" s="142">
        <v>7352.74</v>
      </c>
      <c r="G101" s="142">
        <v>3707.44</v>
      </c>
      <c r="H101" s="142">
        <v>4205.76</v>
      </c>
      <c r="I101" s="142">
        <v>2086.3</v>
      </c>
      <c r="J101" s="142">
        <v>4216.97</v>
      </c>
      <c r="K101" s="142">
        <v>5783.11</v>
      </c>
      <c r="L101" s="142"/>
      <c r="M101" s="143">
        <v>944.28</v>
      </c>
      <c r="N101" s="142">
        <v>6198.86</v>
      </c>
      <c r="O101" s="142">
        <v>4249.06</v>
      </c>
      <c r="P101" s="142">
        <v>5741.88</v>
      </c>
      <c r="Q101" s="142">
        <v>6659.77</v>
      </c>
      <c r="R101" s="122">
        <v>6962.65</v>
      </c>
      <c r="S101" s="122">
        <v>7129.54</v>
      </c>
      <c r="T101" s="122">
        <v>5895.1</v>
      </c>
      <c r="U101" s="122">
        <v>2408.52</v>
      </c>
      <c r="V101" s="122">
        <v>4130.26</v>
      </c>
      <c r="W101" s="122">
        <v>7011.07</v>
      </c>
      <c r="X101" s="122">
        <v>3958.2</v>
      </c>
      <c r="Y101" s="122">
        <v>6415.2</v>
      </c>
      <c r="Z101" s="122">
        <v>5691.4</v>
      </c>
      <c r="AA101" s="122">
        <v>4052.35</v>
      </c>
      <c r="AB101" s="122">
        <v>7220.19</v>
      </c>
      <c r="AC101" s="122">
        <v>5204.34</v>
      </c>
      <c r="AD101" s="122">
        <v>7851.95</v>
      </c>
      <c r="AE101" s="122">
        <v>7326.42</v>
      </c>
      <c r="AF101" s="122"/>
    </row>
    <row r="103">
      <c r="A103" s="26"/>
      <c r="B103" s="27"/>
      <c r="C103" s="28"/>
      <c r="D103" s="28"/>
      <c r="E103" s="28"/>
      <c r="F103" s="29"/>
      <c r="G103" s="29"/>
      <c r="H103" s="28"/>
      <c r="I103" s="28"/>
      <c r="J103" s="29"/>
      <c r="K103" s="16"/>
      <c r="L103" s="51"/>
    </row>
    <row r="104">
      <c r="A104" s="112"/>
      <c r="B104" s="113"/>
      <c r="C104" s="78"/>
      <c r="D104" s="135"/>
      <c r="E104" s="91"/>
      <c r="F104" s="78"/>
      <c r="H104" s="78"/>
      <c r="I104" s="114"/>
      <c r="J104" s="115"/>
      <c r="K104" s="79"/>
      <c r="L104" s="79"/>
    </row>
    <row r="105">
      <c r="A105" s="112"/>
      <c r="B105" s="113"/>
      <c r="C105" s="132"/>
      <c r="D105" s="93"/>
      <c r="E105" s="79"/>
      <c r="F105" s="78"/>
      <c r="H105" s="79"/>
      <c r="I105" s="78"/>
      <c r="J105" s="116"/>
      <c r="K105" s="79"/>
      <c r="L105" s="79"/>
    </row>
    <row r="110">
      <c r="A110" s="26" t="s">
        <v>117</v>
      </c>
      <c r="B110" s="27" t="s">
        <v>1</v>
      </c>
      <c r="C110" s="28" t="s">
        <v>2</v>
      </c>
      <c r="D110" s="28" t="str">
        <f>CONCATENATE("Выполнено ",INT('ВАЖ ОП'!AJ216/'ВАЖ ОП'!AK216*100),"%")</f>
        <v>#DIV/0!</v>
      </c>
      <c r="E110" s="28" t="s">
        <v>4</v>
      </c>
      <c r="F110" s="29" t="s">
        <v>5</v>
      </c>
      <c r="G110" s="29" t="s">
        <v>6</v>
      </c>
      <c r="H110" s="28" t="s">
        <v>7</v>
      </c>
      <c r="I110" s="28" t="s">
        <v>8</v>
      </c>
      <c r="J110" s="29" t="s">
        <v>10</v>
      </c>
      <c r="K110" s="16"/>
      <c r="L110" s="111"/>
    </row>
    <row r="111">
      <c r="A111" s="112" t="s">
        <v>93</v>
      </c>
      <c r="B111" s="113">
        <v>20.0</v>
      </c>
      <c r="C111" s="78">
        <f>SUM(B115:AE115)+SUM(B124:AE124)</f>
        <v>0</v>
      </c>
      <c r="D111" s="93">
        <f>C111/B111</f>
        <v>0</v>
      </c>
      <c r="E111" s="91">
        <f>B111-C111</f>
        <v>20</v>
      </c>
      <c r="F111" s="78" t="str">
        <f>(C111/C108)*B108</f>
        <v>#DIV/0!</v>
      </c>
      <c r="G111" s="93" t="str">
        <f t="shared" ref="G111:G113" si="29">F111/B111</f>
        <v>#DIV/0!</v>
      </c>
      <c r="H111" s="78" t="str">
        <f>F111-B111</f>
        <v>#DIV/0!</v>
      </c>
      <c r="I111" s="114" t="str">
        <f>E111/('ВАЖ ОП'!AK216-'ВАЖ ОП'!AJ216)</f>
        <v>#DIV/0!</v>
      </c>
      <c r="J111" s="115" t="str">
        <f>C111/'ВАЖ ОП'!AJ216</f>
        <v>#DIV/0!</v>
      </c>
      <c r="K111" s="116"/>
      <c r="L111" s="13"/>
    </row>
    <row r="112">
      <c r="A112" s="112" t="s">
        <v>94</v>
      </c>
      <c r="B112" s="78">
        <f t="shared" ref="B112:C112" si="28">B113/B111</f>
        <v>6500</v>
      </c>
      <c r="C112" s="78" t="str">
        <f t="shared" si="28"/>
        <v>#DIV/0!</v>
      </c>
      <c r="D112" s="93"/>
      <c r="E112" s="79"/>
      <c r="F112" s="78" t="str">
        <f>F113/F111</f>
        <v>#DIV/0!</v>
      </c>
      <c r="G112" s="93" t="str">
        <f t="shared" si="29"/>
        <v>#DIV/0!</v>
      </c>
      <c r="H112" s="116"/>
      <c r="I112" s="117"/>
      <c r="J112" s="116"/>
      <c r="K112" s="116"/>
      <c r="L112" s="13"/>
    </row>
    <row r="113">
      <c r="A113" s="112" t="s">
        <v>95</v>
      </c>
      <c r="B113" s="113">
        <v>130000.0</v>
      </c>
      <c r="C113" s="78">
        <f>SUM(B117:AE117)+SUM(B126:AE126)</f>
        <v>5000.03</v>
      </c>
      <c r="D113" s="93">
        <f>C113/B113</f>
        <v>0.03846176923</v>
      </c>
      <c r="E113" s="78">
        <f>B113-C113</f>
        <v>124999.97</v>
      </c>
      <c r="F113" s="78" t="str">
        <f>C113/'ВАЖ ОП'!AJ216*'ВАЖ ОП'!AK216</f>
        <v>#DIV/0!</v>
      </c>
      <c r="G113" s="93" t="str">
        <f t="shared" si="29"/>
        <v>#DIV/0!</v>
      </c>
      <c r="H113" s="78" t="str">
        <f>F113-B113</f>
        <v>#DIV/0!</v>
      </c>
      <c r="I113" s="78" t="str">
        <f>E113/('ВАЖ ОП'!AK216-'ВАЖ ОП'!AJ216)</f>
        <v>#DIV/0!</v>
      </c>
      <c r="J113" s="91" t="str">
        <f>C113/'ВАЖ ОП'!AJ216</f>
        <v>#DIV/0!</v>
      </c>
      <c r="K113" s="118"/>
      <c r="L113" s="13"/>
    </row>
    <row r="114">
      <c r="A114" s="119" t="s">
        <v>98</v>
      </c>
      <c r="B114" s="120">
        <v>44470.0</v>
      </c>
      <c r="C114" s="120">
        <v>44471.0</v>
      </c>
      <c r="D114" s="120">
        <v>44472.0</v>
      </c>
      <c r="E114" s="120">
        <v>44473.0</v>
      </c>
      <c r="F114" s="120">
        <v>44474.0</v>
      </c>
      <c r="G114" s="120">
        <v>44475.0</v>
      </c>
      <c r="H114" s="120">
        <v>44476.0</v>
      </c>
      <c r="I114" s="120">
        <v>44477.0</v>
      </c>
      <c r="J114" s="120">
        <v>44478.0</v>
      </c>
      <c r="K114" s="120">
        <v>44479.0</v>
      </c>
      <c r="L114" s="120">
        <v>44480.0</v>
      </c>
      <c r="M114" s="120">
        <v>44481.0</v>
      </c>
      <c r="N114" s="120">
        <v>44482.0</v>
      </c>
      <c r="O114" s="120">
        <v>44483.0</v>
      </c>
      <c r="P114" s="120">
        <v>44484.0</v>
      </c>
      <c r="Q114" s="120">
        <v>44485.0</v>
      </c>
      <c r="R114" s="120">
        <v>44486.0</v>
      </c>
      <c r="S114" s="120">
        <v>44487.0</v>
      </c>
      <c r="T114" s="120">
        <v>44488.0</v>
      </c>
      <c r="U114" s="120">
        <v>44489.0</v>
      </c>
      <c r="V114" s="120">
        <v>44490.0</v>
      </c>
      <c r="W114" s="120">
        <v>44491.0</v>
      </c>
      <c r="X114" s="120">
        <v>44492.0</v>
      </c>
      <c r="Y114" s="120">
        <v>44493.0</v>
      </c>
      <c r="Z114" s="120">
        <v>44494.0</v>
      </c>
      <c r="AA114" s="120">
        <v>44495.0</v>
      </c>
      <c r="AB114" s="120">
        <v>44496.0</v>
      </c>
      <c r="AC114" s="120">
        <v>44497.0</v>
      </c>
      <c r="AD114" s="120">
        <v>44498.0</v>
      </c>
      <c r="AE114" s="120">
        <v>44499.0</v>
      </c>
      <c r="AF114" s="120">
        <v>44500.0</v>
      </c>
    </row>
    <row r="115">
      <c r="A115" s="121" t="s">
        <v>93</v>
      </c>
      <c r="B115" s="123"/>
      <c r="C115" s="123"/>
      <c r="D115" s="123"/>
      <c r="E115" s="122"/>
      <c r="F115" s="122"/>
      <c r="G115" s="122"/>
      <c r="H115" s="122"/>
      <c r="I115" s="123"/>
      <c r="J115" s="123"/>
      <c r="K115" s="122"/>
      <c r="L115" s="123"/>
      <c r="M115" s="123"/>
      <c r="N115" s="122"/>
      <c r="O115" s="123"/>
      <c r="P115" s="123"/>
      <c r="Q115" s="123"/>
      <c r="R115" s="122"/>
      <c r="S115" s="123"/>
      <c r="T115" s="122"/>
      <c r="U115" s="122"/>
      <c r="V115" s="123"/>
      <c r="W115" s="123"/>
      <c r="X115" s="123"/>
      <c r="Y115" s="122"/>
      <c r="Z115" s="122"/>
      <c r="AA115" s="123"/>
      <c r="AB115" s="122"/>
      <c r="AC115" s="122"/>
      <c r="AD115" s="122"/>
      <c r="AE115" s="123"/>
      <c r="AF115" s="123"/>
    </row>
    <row r="116">
      <c r="A116" s="121" t="s">
        <v>94</v>
      </c>
      <c r="B116" s="123" t="str">
        <f t="shared" ref="B116:AF116" si="30">IFERROR(B117/B115,"-")</f>
        <v>-</v>
      </c>
      <c r="C116" s="123" t="str">
        <f t="shared" si="30"/>
        <v>-</v>
      </c>
      <c r="D116" s="123" t="str">
        <f t="shared" si="30"/>
        <v>-</v>
      </c>
      <c r="E116" s="123" t="str">
        <f t="shared" si="30"/>
        <v>-</v>
      </c>
      <c r="F116" s="123" t="str">
        <f t="shared" si="30"/>
        <v>-</v>
      </c>
      <c r="G116" s="123" t="str">
        <f t="shared" si="30"/>
        <v>-</v>
      </c>
      <c r="H116" s="123" t="str">
        <f t="shared" si="30"/>
        <v>-</v>
      </c>
      <c r="I116" s="123" t="str">
        <f t="shared" si="30"/>
        <v>-</v>
      </c>
      <c r="J116" s="123" t="str">
        <f t="shared" si="30"/>
        <v>-</v>
      </c>
      <c r="K116" s="123" t="str">
        <f t="shared" si="30"/>
        <v>-</v>
      </c>
      <c r="L116" s="123" t="str">
        <f t="shared" si="30"/>
        <v>-</v>
      </c>
      <c r="M116" s="123" t="str">
        <f t="shared" si="30"/>
        <v>-</v>
      </c>
      <c r="N116" s="123" t="str">
        <f t="shared" si="30"/>
        <v>-</v>
      </c>
      <c r="O116" s="123" t="str">
        <f t="shared" si="30"/>
        <v>-</v>
      </c>
      <c r="P116" s="123" t="str">
        <f t="shared" si="30"/>
        <v>-</v>
      </c>
      <c r="Q116" s="123" t="str">
        <f t="shared" si="30"/>
        <v>-</v>
      </c>
      <c r="R116" s="123" t="str">
        <f t="shared" si="30"/>
        <v>-</v>
      </c>
      <c r="S116" s="123" t="str">
        <f t="shared" si="30"/>
        <v>-</v>
      </c>
      <c r="T116" s="123" t="str">
        <f t="shared" si="30"/>
        <v>-</v>
      </c>
      <c r="U116" s="123" t="str">
        <f t="shared" si="30"/>
        <v>-</v>
      </c>
      <c r="V116" s="123" t="str">
        <f t="shared" si="30"/>
        <v>-</v>
      </c>
      <c r="W116" s="123" t="str">
        <f t="shared" si="30"/>
        <v>-</v>
      </c>
      <c r="X116" s="123" t="str">
        <f t="shared" si="30"/>
        <v>-</v>
      </c>
      <c r="Y116" s="123" t="str">
        <f t="shared" si="30"/>
        <v>-</v>
      </c>
      <c r="Z116" s="123" t="str">
        <f t="shared" si="30"/>
        <v>-</v>
      </c>
      <c r="AA116" s="123" t="str">
        <f t="shared" si="30"/>
        <v>-</v>
      </c>
      <c r="AB116" s="123" t="str">
        <f t="shared" si="30"/>
        <v>-</v>
      </c>
      <c r="AC116" s="123" t="str">
        <f t="shared" si="30"/>
        <v>-</v>
      </c>
      <c r="AD116" s="123" t="str">
        <f t="shared" si="30"/>
        <v>-</v>
      </c>
      <c r="AE116" s="123" t="str">
        <f t="shared" si="30"/>
        <v>-</v>
      </c>
      <c r="AF116" s="123" t="str">
        <f t="shared" si="30"/>
        <v>-</v>
      </c>
    </row>
    <row r="117">
      <c r="A117" s="121" t="s">
        <v>99</v>
      </c>
      <c r="B117" s="123"/>
      <c r="C117" s="123"/>
      <c r="D117" s="123"/>
      <c r="E117" s="122"/>
      <c r="F117" s="122"/>
      <c r="G117" s="122"/>
      <c r="H117" s="122"/>
      <c r="I117" s="122" t="s">
        <v>119</v>
      </c>
      <c r="J117" s="122" t="s">
        <v>120</v>
      </c>
      <c r="K117" s="122" t="s">
        <v>121</v>
      </c>
      <c r="L117" s="122" t="s">
        <v>122</v>
      </c>
      <c r="M117" s="123"/>
      <c r="N117" s="122">
        <v>51.95</v>
      </c>
      <c r="O117" s="122">
        <v>271.98</v>
      </c>
      <c r="P117" s="122">
        <v>645.17</v>
      </c>
      <c r="Q117" s="122">
        <v>26.21</v>
      </c>
      <c r="R117" s="122">
        <v>203.98</v>
      </c>
      <c r="S117" s="122">
        <v>271.5</v>
      </c>
      <c r="T117" s="122">
        <v>150.0</v>
      </c>
      <c r="U117" s="122">
        <v>643.45</v>
      </c>
      <c r="V117" s="122">
        <v>372.68</v>
      </c>
      <c r="W117" s="122">
        <v>373.96</v>
      </c>
      <c r="X117" s="122">
        <v>1311.95</v>
      </c>
      <c r="Y117" s="122">
        <v>677.2</v>
      </c>
      <c r="Z117" s="122"/>
      <c r="AA117" s="122"/>
      <c r="AB117" s="122"/>
      <c r="AC117" s="122"/>
      <c r="AD117" s="122"/>
      <c r="AE117" s="122"/>
      <c r="AF117" s="122"/>
    </row>
    <row r="118">
      <c r="A118" s="51"/>
      <c r="B118" s="87"/>
      <c r="C118" s="85"/>
      <c r="D118" s="85"/>
      <c r="E118" s="85"/>
      <c r="F118" s="85"/>
      <c r="G118" s="85"/>
      <c r="H118" s="85"/>
      <c r="I118" s="85"/>
      <c r="J118" s="85"/>
      <c r="K118" s="51"/>
      <c r="L118" s="51"/>
    </row>
    <row r="119">
      <c r="A119" s="26" t="s">
        <v>106</v>
      </c>
      <c r="B119" s="27" t="s">
        <v>1</v>
      </c>
      <c r="C119" s="28" t="s">
        <v>2</v>
      </c>
      <c r="D119" s="28" t="str">
        <f>CONCATENATE("Выполнено ",INT('ВАЖ ОП'!AJ216/'ВАЖ ОП'!AK216*100),"%")</f>
        <v>#DIV/0!</v>
      </c>
      <c r="E119" s="28" t="s">
        <v>4</v>
      </c>
      <c r="F119" s="29" t="s">
        <v>5</v>
      </c>
      <c r="G119" s="29" t="s">
        <v>6</v>
      </c>
      <c r="H119" s="28" t="s">
        <v>7</v>
      </c>
      <c r="I119" s="28" t="s">
        <v>8</v>
      </c>
      <c r="J119" s="29" t="s">
        <v>10</v>
      </c>
      <c r="K119" s="16"/>
      <c r="L119" s="51"/>
    </row>
    <row r="120">
      <c r="A120" s="112" t="s">
        <v>93</v>
      </c>
      <c r="B120" s="113">
        <v>8.0</v>
      </c>
      <c r="C120" s="78">
        <f>SUM(B124:AE124)</f>
        <v>0</v>
      </c>
      <c r="D120" s="135"/>
      <c r="E120" s="91"/>
      <c r="F120" s="78" t="str">
        <f>(C120/C108)*B108</f>
        <v>#DIV/0!</v>
      </c>
      <c r="G120" s="136"/>
      <c r="H120" s="78"/>
      <c r="I120" s="114"/>
      <c r="J120" s="115" t="str">
        <f>C120/'ВАЖ ОП'!AJ216</f>
        <v>#DIV/0!</v>
      </c>
      <c r="K120" s="13"/>
      <c r="L120" s="13"/>
    </row>
    <row r="121">
      <c r="A121" s="112" t="s">
        <v>94</v>
      </c>
      <c r="B121" s="78">
        <f>B122/B120</f>
        <v>6000</v>
      </c>
      <c r="C121" s="132" t="str">
        <f>IFERROR(C122/C120,"-")</f>
        <v>-</v>
      </c>
      <c r="D121" s="93"/>
      <c r="E121" s="84"/>
      <c r="F121" s="132" t="str">
        <f>IFERROR(F122/F120,"-")</f>
        <v>-</v>
      </c>
      <c r="H121" s="79"/>
      <c r="I121" s="78"/>
      <c r="J121" s="116"/>
      <c r="K121" s="13"/>
      <c r="L121" s="13"/>
    </row>
    <row r="122">
      <c r="A122" s="112" t="s">
        <v>95</v>
      </c>
      <c r="B122" s="113">
        <v>48000.0</v>
      </c>
      <c r="C122" s="78">
        <f>SUM(B126:AE126)</f>
        <v>0</v>
      </c>
      <c r="D122" s="135"/>
      <c r="E122" s="78"/>
      <c r="F122" s="78" t="str">
        <f>C122/'ВАЖ ОП'!AJ216*'ВАЖ ОП'!AK216</f>
        <v>#DIV/0!</v>
      </c>
      <c r="G122" s="136"/>
      <c r="H122" s="78"/>
      <c r="I122" s="78"/>
      <c r="J122" s="91" t="str">
        <f>C122/'ВАЖ ОП'!AJ216</f>
        <v>#DIV/0!</v>
      </c>
      <c r="K122" s="87"/>
      <c r="L122" s="13"/>
    </row>
    <row r="123">
      <c r="A123" s="119" t="s">
        <v>108</v>
      </c>
      <c r="B123" s="120">
        <v>44470.0</v>
      </c>
      <c r="C123" s="120">
        <v>44471.0</v>
      </c>
      <c r="D123" s="120">
        <v>44472.0</v>
      </c>
      <c r="E123" s="120">
        <v>44473.0</v>
      </c>
      <c r="F123" s="120">
        <v>44474.0</v>
      </c>
      <c r="G123" s="120">
        <v>44475.0</v>
      </c>
      <c r="H123" s="120">
        <v>44476.0</v>
      </c>
      <c r="I123" s="120">
        <v>44477.0</v>
      </c>
      <c r="J123" s="120">
        <v>44478.0</v>
      </c>
      <c r="K123" s="120">
        <v>44479.0</v>
      </c>
      <c r="L123" s="120">
        <v>44480.0</v>
      </c>
      <c r="M123" s="120">
        <v>44481.0</v>
      </c>
      <c r="N123" s="120">
        <v>44482.0</v>
      </c>
      <c r="O123" s="120">
        <v>44483.0</v>
      </c>
      <c r="P123" s="120">
        <v>44484.0</v>
      </c>
      <c r="Q123" s="120">
        <v>44485.0</v>
      </c>
      <c r="R123" s="120">
        <v>44486.0</v>
      </c>
      <c r="S123" s="120">
        <v>44487.0</v>
      </c>
      <c r="T123" s="120">
        <v>44488.0</v>
      </c>
      <c r="U123" s="120">
        <v>44489.0</v>
      </c>
      <c r="V123" s="120">
        <v>44490.0</v>
      </c>
      <c r="W123" s="120">
        <v>44491.0</v>
      </c>
      <c r="X123" s="120">
        <v>44492.0</v>
      </c>
      <c r="Y123" s="120">
        <v>44493.0</v>
      </c>
      <c r="Z123" s="120">
        <v>44494.0</v>
      </c>
      <c r="AA123" s="120">
        <v>44495.0</v>
      </c>
      <c r="AB123" s="120">
        <v>44496.0</v>
      </c>
      <c r="AC123" s="120">
        <v>44497.0</v>
      </c>
      <c r="AD123" s="120">
        <v>44498.0</v>
      </c>
      <c r="AE123" s="120">
        <v>44499.0</v>
      </c>
      <c r="AF123" s="120">
        <v>44500.0</v>
      </c>
    </row>
    <row r="124">
      <c r="A124" s="121" t="s">
        <v>93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3"/>
      <c r="S124" s="123"/>
      <c r="T124" s="122"/>
      <c r="U124" s="123"/>
      <c r="V124" s="123"/>
      <c r="W124" s="123"/>
      <c r="X124" s="122"/>
      <c r="Y124" s="123"/>
      <c r="Z124" s="123"/>
      <c r="AA124" s="123"/>
      <c r="AB124" s="123"/>
      <c r="AC124" s="123"/>
      <c r="AD124" s="123"/>
      <c r="AE124" s="123"/>
      <c r="AF124" s="123"/>
    </row>
    <row r="125">
      <c r="A125" s="121" t="s">
        <v>94</v>
      </c>
      <c r="B125" s="123" t="str">
        <f t="shared" ref="B125:AF125" si="31">IFERROR(B126/B124,"-")</f>
        <v>-</v>
      </c>
      <c r="C125" s="123" t="str">
        <f t="shared" si="31"/>
        <v>-</v>
      </c>
      <c r="D125" s="123" t="str">
        <f t="shared" si="31"/>
        <v>-</v>
      </c>
      <c r="E125" s="123" t="str">
        <f t="shared" si="31"/>
        <v>-</v>
      </c>
      <c r="F125" s="123" t="str">
        <f t="shared" si="31"/>
        <v>-</v>
      </c>
      <c r="G125" s="123" t="str">
        <f t="shared" si="31"/>
        <v>-</v>
      </c>
      <c r="H125" s="123" t="str">
        <f t="shared" si="31"/>
        <v>-</v>
      </c>
      <c r="I125" s="123" t="str">
        <f t="shared" si="31"/>
        <v>-</v>
      </c>
      <c r="J125" s="123" t="str">
        <f t="shared" si="31"/>
        <v>-</v>
      </c>
      <c r="K125" s="123" t="str">
        <f t="shared" si="31"/>
        <v>-</v>
      </c>
      <c r="L125" s="123" t="str">
        <f t="shared" si="31"/>
        <v>-</v>
      </c>
      <c r="M125" s="123" t="str">
        <f t="shared" si="31"/>
        <v>-</v>
      </c>
      <c r="N125" s="123" t="str">
        <f t="shared" si="31"/>
        <v>-</v>
      </c>
      <c r="O125" s="123" t="str">
        <f t="shared" si="31"/>
        <v>-</v>
      </c>
      <c r="P125" s="123" t="str">
        <f t="shared" si="31"/>
        <v>-</v>
      </c>
      <c r="Q125" s="123" t="str">
        <f t="shared" si="31"/>
        <v>-</v>
      </c>
      <c r="R125" s="123" t="str">
        <f t="shared" si="31"/>
        <v>-</v>
      </c>
      <c r="S125" s="123" t="str">
        <f t="shared" si="31"/>
        <v>-</v>
      </c>
      <c r="T125" s="123" t="str">
        <f t="shared" si="31"/>
        <v>-</v>
      </c>
      <c r="U125" s="123" t="str">
        <f t="shared" si="31"/>
        <v>-</v>
      </c>
      <c r="V125" s="123" t="str">
        <f t="shared" si="31"/>
        <v>-</v>
      </c>
      <c r="W125" s="123" t="str">
        <f t="shared" si="31"/>
        <v>-</v>
      </c>
      <c r="X125" s="123" t="str">
        <f t="shared" si="31"/>
        <v>-</v>
      </c>
      <c r="Y125" s="123" t="str">
        <f t="shared" si="31"/>
        <v>-</v>
      </c>
      <c r="Z125" s="123" t="str">
        <f t="shared" si="31"/>
        <v>-</v>
      </c>
      <c r="AA125" s="123" t="str">
        <f t="shared" si="31"/>
        <v>-</v>
      </c>
      <c r="AB125" s="123" t="str">
        <f t="shared" si="31"/>
        <v>-</v>
      </c>
      <c r="AC125" s="123" t="str">
        <f t="shared" si="31"/>
        <v>-</v>
      </c>
      <c r="AD125" s="123" t="str">
        <f t="shared" si="31"/>
        <v>-</v>
      </c>
      <c r="AE125" s="123" t="str">
        <f t="shared" si="31"/>
        <v>-</v>
      </c>
      <c r="AF125" s="123" t="str">
        <f t="shared" si="31"/>
        <v>-</v>
      </c>
    </row>
    <row r="126">
      <c r="A126" s="121" t="s">
        <v>99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</row>
    <row r="127">
      <c r="A127" s="35"/>
      <c r="B127" s="53"/>
      <c r="C127" s="53"/>
      <c r="D127" s="53"/>
      <c r="E127" s="53"/>
      <c r="F127" s="55"/>
      <c r="G127" s="55"/>
      <c r="H127" s="54"/>
      <c r="I127" s="54"/>
      <c r="J127" s="54"/>
      <c r="K127" s="54"/>
      <c r="L127" s="54"/>
    </row>
    <row r="128">
      <c r="A128" s="26" t="s">
        <v>118</v>
      </c>
      <c r="B128" s="27" t="s">
        <v>1</v>
      </c>
      <c r="C128" s="28" t="s">
        <v>2</v>
      </c>
      <c r="D128" s="28" t="str">
        <f>CONCATENATE("Выполнено ",INT('ВАЖ ОП'!AJ216/'ВАЖ ОП'!AK216*100),"%")</f>
        <v>#DIV/0!</v>
      </c>
      <c r="E128" s="28" t="s">
        <v>4</v>
      </c>
      <c r="F128" s="29" t="s">
        <v>5</v>
      </c>
      <c r="G128" s="29" t="s">
        <v>6</v>
      </c>
      <c r="H128" s="28" t="s">
        <v>7</v>
      </c>
      <c r="I128" s="28" t="s">
        <v>8</v>
      </c>
      <c r="J128" s="29" t="s">
        <v>10</v>
      </c>
      <c r="K128" s="16"/>
      <c r="L128" s="51"/>
    </row>
    <row r="129">
      <c r="A129" s="112" t="s">
        <v>93</v>
      </c>
      <c r="B129" s="113">
        <v>15.0</v>
      </c>
      <c r="C129" s="78">
        <f>SUM(B133:AE133)</f>
        <v>0</v>
      </c>
      <c r="D129" s="93">
        <f>C129/B129</f>
        <v>0</v>
      </c>
      <c r="E129" s="91">
        <f>B129-C129</f>
        <v>15</v>
      </c>
      <c r="F129" s="78" t="str">
        <f>(C129/C108)*B108</f>
        <v>#DIV/0!</v>
      </c>
      <c r="G129" s="129" t="str">
        <f t="shared" ref="G129:G131" si="33">F129/B129</f>
        <v>#DIV/0!</v>
      </c>
      <c r="H129" s="78" t="str">
        <f>F129-B129</f>
        <v>#DIV/0!</v>
      </c>
      <c r="I129" s="114" t="str">
        <f>E129/('ВАЖ ОП'!AK216-'ВАЖ ОП'!AJ216)</f>
        <v>#DIV/0!</v>
      </c>
      <c r="J129" s="115" t="str">
        <f>C129/'ВАЖ ОП'!AJ216</f>
        <v>#DIV/0!</v>
      </c>
      <c r="K129" s="79"/>
      <c r="L129" s="79"/>
    </row>
    <row r="130">
      <c r="A130" s="112" t="s">
        <v>94</v>
      </c>
      <c r="B130" s="78">
        <f t="shared" ref="B130:C130" si="32">B131/B129</f>
        <v>8000</v>
      </c>
      <c r="C130" s="78" t="str">
        <f t="shared" si="32"/>
        <v>#DIV/0!</v>
      </c>
      <c r="D130" s="93"/>
      <c r="E130" s="79"/>
      <c r="F130" s="78" t="str">
        <f>F131/F129</f>
        <v>#DIV/0!</v>
      </c>
      <c r="G130" s="93" t="str">
        <f t="shared" si="33"/>
        <v>#DIV/0!</v>
      </c>
      <c r="H130" s="79"/>
      <c r="I130" s="78"/>
      <c r="J130" s="116"/>
      <c r="K130" s="79"/>
      <c r="L130" s="79"/>
    </row>
    <row r="131">
      <c r="A131" s="112" t="s">
        <v>95</v>
      </c>
      <c r="B131" s="113">
        <v>120000.0</v>
      </c>
      <c r="C131" s="78">
        <f>SUM(B135:AE135)</f>
        <v>0</v>
      </c>
      <c r="D131" s="93">
        <f>C131/B131</f>
        <v>0</v>
      </c>
      <c r="E131" s="78">
        <f>B131-C131</f>
        <v>120000</v>
      </c>
      <c r="F131" s="78" t="str">
        <f>C131/'ВАЖ ОП'!AJ216*'ВАЖ ОП'!AK216</f>
        <v>#DIV/0!</v>
      </c>
      <c r="G131" s="129" t="str">
        <f t="shared" si="33"/>
        <v>#DIV/0!</v>
      </c>
      <c r="H131" s="78" t="str">
        <f>F131-B131</f>
        <v>#DIV/0!</v>
      </c>
      <c r="I131" s="78" t="str">
        <f>E131/('ВАЖ ОП'!AK216-'ВАЖ ОП'!AJ216)</f>
        <v>#DIV/0!</v>
      </c>
      <c r="J131" s="91" t="str">
        <f>C131/'ВАЖ ОП'!AJ216</f>
        <v>#DIV/0!</v>
      </c>
      <c r="K131" s="79"/>
      <c r="L131" s="79"/>
    </row>
    <row r="132">
      <c r="A132" s="119" t="s">
        <v>101</v>
      </c>
      <c r="B132" s="120">
        <v>44470.0</v>
      </c>
      <c r="C132" s="120">
        <v>44471.0</v>
      </c>
      <c r="D132" s="120">
        <v>44472.0</v>
      </c>
      <c r="E132" s="120">
        <v>44473.0</v>
      </c>
      <c r="F132" s="120">
        <v>44474.0</v>
      </c>
      <c r="G132" s="120">
        <v>44475.0</v>
      </c>
      <c r="H132" s="120">
        <v>44476.0</v>
      </c>
      <c r="I132" s="120">
        <v>44477.0</v>
      </c>
      <c r="J132" s="120">
        <v>44478.0</v>
      </c>
      <c r="K132" s="120">
        <v>44479.0</v>
      </c>
      <c r="L132" s="120">
        <v>44480.0</v>
      </c>
      <c r="M132" s="120">
        <v>44481.0</v>
      </c>
      <c r="N132" s="120">
        <v>44482.0</v>
      </c>
      <c r="O132" s="120">
        <v>44483.0</v>
      </c>
      <c r="P132" s="120">
        <v>44484.0</v>
      </c>
      <c r="Q132" s="120">
        <v>44485.0</v>
      </c>
      <c r="R132" s="120">
        <v>44486.0</v>
      </c>
      <c r="S132" s="120">
        <v>44487.0</v>
      </c>
      <c r="T132" s="120">
        <v>44488.0</v>
      </c>
      <c r="U132" s="120">
        <v>44489.0</v>
      </c>
      <c r="V132" s="120">
        <v>44490.0</v>
      </c>
      <c r="W132" s="120">
        <v>44491.0</v>
      </c>
      <c r="X132" s="120">
        <v>44492.0</v>
      </c>
      <c r="Y132" s="120">
        <v>44493.0</v>
      </c>
      <c r="Z132" s="120">
        <v>44494.0</v>
      </c>
      <c r="AA132" s="120">
        <v>44495.0</v>
      </c>
      <c r="AB132" s="120">
        <v>44496.0</v>
      </c>
      <c r="AC132" s="120">
        <v>44497.0</v>
      </c>
      <c r="AD132" s="120">
        <v>44498.0</v>
      </c>
      <c r="AE132" s="120">
        <v>44499.0</v>
      </c>
      <c r="AF132" s="120">
        <v>44500.0</v>
      </c>
    </row>
    <row r="133">
      <c r="A133" s="121" t="s">
        <v>93</v>
      </c>
      <c r="B133" s="140"/>
      <c r="C133" s="140"/>
      <c r="D133" s="140"/>
      <c r="E133" s="140"/>
      <c r="F133" s="90"/>
      <c r="G133" s="141"/>
      <c r="H133" s="141"/>
      <c r="I133" s="140"/>
      <c r="J133" s="141"/>
      <c r="K133" s="141"/>
      <c r="L133" s="140"/>
      <c r="M133" s="90"/>
      <c r="N133" s="140"/>
      <c r="O133" s="140"/>
      <c r="P133" s="90"/>
      <c r="Q133" s="90"/>
      <c r="R133" s="122"/>
      <c r="S133" s="122"/>
      <c r="T133" s="123"/>
      <c r="U133" s="122"/>
      <c r="V133" s="122"/>
      <c r="W133" s="122"/>
      <c r="X133" s="123"/>
      <c r="Y133" s="123"/>
      <c r="Z133" s="122"/>
      <c r="AA133" s="122"/>
      <c r="AB133" s="122"/>
      <c r="AC133" s="123"/>
      <c r="AD133" s="122"/>
      <c r="AE133" s="123"/>
      <c r="AF133" s="123"/>
    </row>
    <row r="134">
      <c r="A134" s="121" t="s">
        <v>94</v>
      </c>
      <c r="B134" s="123" t="str">
        <f t="shared" ref="B134:AF134" si="34">IFERROR(B135/B133,"-")</f>
        <v>-</v>
      </c>
      <c r="C134" s="123" t="str">
        <f t="shared" si="34"/>
        <v>-</v>
      </c>
      <c r="D134" s="123" t="str">
        <f t="shared" si="34"/>
        <v>-</v>
      </c>
      <c r="E134" s="123" t="str">
        <f t="shared" si="34"/>
        <v>-</v>
      </c>
      <c r="F134" s="123" t="str">
        <f t="shared" si="34"/>
        <v>-</v>
      </c>
      <c r="G134" s="123" t="str">
        <f t="shared" si="34"/>
        <v>-</v>
      </c>
      <c r="H134" s="123" t="str">
        <f t="shared" si="34"/>
        <v>-</v>
      </c>
      <c r="I134" s="123" t="str">
        <f t="shared" si="34"/>
        <v>-</v>
      </c>
      <c r="J134" s="123" t="str">
        <f t="shared" si="34"/>
        <v>-</v>
      </c>
      <c r="K134" s="123" t="str">
        <f t="shared" si="34"/>
        <v>-</v>
      </c>
      <c r="L134" s="123" t="str">
        <f t="shared" si="34"/>
        <v>-</v>
      </c>
      <c r="M134" s="123" t="str">
        <f t="shared" si="34"/>
        <v>-</v>
      </c>
      <c r="N134" s="123" t="str">
        <f t="shared" si="34"/>
        <v>-</v>
      </c>
      <c r="O134" s="123" t="str">
        <f t="shared" si="34"/>
        <v>-</v>
      </c>
      <c r="P134" s="123" t="str">
        <f t="shared" si="34"/>
        <v>-</v>
      </c>
      <c r="Q134" s="123" t="str">
        <f t="shared" si="34"/>
        <v>-</v>
      </c>
      <c r="R134" s="123" t="str">
        <f t="shared" si="34"/>
        <v>-</v>
      </c>
      <c r="S134" s="123" t="str">
        <f t="shared" si="34"/>
        <v>-</v>
      </c>
      <c r="T134" s="123" t="str">
        <f t="shared" si="34"/>
        <v>-</v>
      </c>
      <c r="U134" s="123" t="str">
        <f t="shared" si="34"/>
        <v>-</v>
      </c>
      <c r="V134" s="123" t="str">
        <f t="shared" si="34"/>
        <v>-</v>
      </c>
      <c r="W134" s="123" t="str">
        <f t="shared" si="34"/>
        <v>-</v>
      </c>
      <c r="X134" s="123" t="str">
        <f t="shared" si="34"/>
        <v>-</v>
      </c>
      <c r="Y134" s="123" t="str">
        <f t="shared" si="34"/>
        <v>-</v>
      </c>
      <c r="Z134" s="123" t="str">
        <f t="shared" si="34"/>
        <v>-</v>
      </c>
      <c r="AA134" s="123" t="str">
        <f t="shared" si="34"/>
        <v>-</v>
      </c>
      <c r="AB134" s="123" t="str">
        <f t="shared" si="34"/>
        <v>-</v>
      </c>
      <c r="AC134" s="123" t="str">
        <f t="shared" si="34"/>
        <v>-</v>
      </c>
      <c r="AD134" s="123" t="str">
        <f t="shared" si="34"/>
        <v>-</v>
      </c>
      <c r="AE134" s="123" t="str">
        <f t="shared" si="34"/>
        <v>-</v>
      </c>
      <c r="AF134" s="123" t="str">
        <f t="shared" si="34"/>
        <v>-</v>
      </c>
    </row>
    <row r="135">
      <c r="A135" s="121" t="s">
        <v>99</v>
      </c>
      <c r="B135" s="144"/>
      <c r="C135" s="144"/>
      <c r="D135" s="144"/>
      <c r="E135" s="142"/>
      <c r="F135" s="142"/>
      <c r="G135" s="142"/>
      <c r="H135" s="142"/>
      <c r="I135" s="142"/>
      <c r="J135" s="142"/>
      <c r="K135" s="142"/>
      <c r="L135" s="142"/>
      <c r="M135" s="145"/>
      <c r="N135" s="144"/>
      <c r="O135" s="144"/>
      <c r="P135" s="144"/>
      <c r="Q135" s="144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</row>
    <row r="137">
      <c r="A137" s="26"/>
      <c r="B137" s="27"/>
      <c r="C137" s="28"/>
      <c r="D137" s="28"/>
      <c r="E137" s="28"/>
      <c r="F137" s="29"/>
      <c r="G137" s="29"/>
      <c r="H137" s="28"/>
      <c r="I137" s="28"/>
      <c r="J137" s="29"/>
      <c r="K137" s="16"/>
      <c r="L137" s="51"/>
    </row>
    <row r="153">
      <c r="A153" s="100" t="s">
        <v>124</v>
      </c>
      <c r="B153" s="101" t="s">
        <v>1</v>
      </c>
      <c r="C153" s="102" t="s">
        <v>2</v>
      </c>
      <c r="D153" s="102" t="str">
        <f>CONCATENATE("Выполнено ",INT('ВАЖ ОП'!AJ184/'ВАЖ ОП'!AK184*100),"%")</f>
        <v>#DIV/0!</v>
      </c>
      <c r="E153" s="102" t="s">
        <v>4</v>
      </c>
      <c r="F153" s="103" t="s">
        <v>5</v>
      </c>
      <c r="G153" s="103" t="s">
        <v>6</v>
      </c>
      <c r="H153" s="104" t="s">
        <v>7</v>
      </c>
      <c r="I153" s="104" t="s">
        <v>8</v>
      </c>
      <c r="J153" s="103" t="s">
        <v>10</v>
      </c>
      <c r="K153" s="16"/>
    </row>
    <row r="154">
      <c r="A154" s="105" t="s">
        <v>93</v>
      </c>
      <c r="B154" s="9">
        <f>B160+B169+B178</f>
        <v>43</v>
      </c>
      <c r="C154" s="9">
        <f>C160+C178</f>
        <v>54</v>
      </c>
      <c r="D154" s="10">
        <f>C154/B154</f>
        <v>1.255813953</v>
      </c>
      <c r="E154" s="9">
        <f>B154-C154</f>
        <v>-11</v>
      </c>
      <c r="F154" s="9">
        <f>(C154/C157)*B157</f>
        <v>239.1428571</v>
      </c>
      <c r="G154" s="10">
        <f t="shared" ref="G154:G156" si="36">F154/B154</f>
        <v>5.561461794</v>
      </c>
      <c r="H154" s="9">
        <f>F154-B154</f>
        <v>196.1428571</v>
      </c>
      <c r="I154" s="106" t="str">
        <f>E154/('ВАЖ ОП'!AK184-'ВАЖ ОП'!AJ184)</f>
        <v>#DIV/0!</v>
      </c>
      <c r="J154" s="46" t="str">
        <f>C154/'ВАЖ ОП'!AJ184</f>
        <v>#DIV/0!</v>
      </c>
      <c r="K154" s="107"/>
    </row>
    <row r="155">
      <c r="A155" s="105" t="s">
        <v>94</v>
      </c>
      <c r="B155" s="8">
        <f t="shared" ref="B155:C155" si="35">B156/B154</f>
        <v>6930.232558</v>
      </c>
      <c r="C155" s="9">
        <f t="shared" si="35"/>
        <v>6464.467037</v>
      </c>
      <c r="D155" s="10"/>
      <c r="E155" s="109"/>
      <c r="F155" s="9" t="str">
        <f>F156/F154</f>
        <v>#DIV/0!</v>
      </c>
      <c r="G155" s="10" t="str">
        <f t="shared" si="36"/>
        <v>#DIV/0!</v>
      </c>
      <c r="H155" s="109"/>
      <c r="I155" s="109"/>
      <c r="J155" s="107"/>
      <c r="K155" s="107"/>
    </row>
    <row r="156">
      <c r="A156" s="105" t="s">
        <v>95</v>
      </c>
      <c r="B156" s="9">
        <f t="shared" ref="B156:C156" si="37">B162+B171+B180</f>
        <v>298000</v>
      </c>
      <c r="C156" s="9">
        <f t="shared" si="37"/>
        <v>349081.22</v>
      </c>
      <c r="D156" s="10">
        <f>C156/B156</f>
        <v>1.17141349</v>
      </c>
      <c r="E156" s="9">
        <f>B156-C156</f>
        <v>-51081.22</v>
      </c>
      <c r="F156" s="9" t="str">
        <f>C156/'ВАЖ ОП'!AJ184*'ВАЖ ОП'!AK184</f>
        <v>#DIV/0!</v>
      </c>
      <c r="G156" s="10" t="str">
        <f t="shared" si="36"/>
        <v>#DIV/0!</v>
      </c>
      <c r="H156" s="9" t="str">
        <f>F156-B156</f>
        <v>#DIV/0!</v>
      </c>
      <c r="I156" s="19" t="str">
        <f>E156/('ВАЖ ОП'!AK184-'ВАЖ ОП'!AJ184)</f>
        <v>#DIV/0!</v>
      </c>
      <c r="J156" s="19" t="str">
        <f>C156/'ВАЖ ОП'!AJ184</f>
        <v>#DIV/0!</v>
      </c>
      <c r="K156" s="107"/>
    </row>
    <row r="157">
      <c r="A157" s="50" t="s">
        <v>116</v>
      </c>
      <c r="B157" s="50">
        <v>31.0</v>
      </c>
      <c r="C157" s="138">
        <f>DAY(TODAY()-1)</f>
        <v>7</v>
      </c>
    </row>
    <row r="158">
      <c r="A158" s="110" t="s">
        <v>96</v>
      </c>
      <c r="B158" s="22"/>
      <c r="C158" s="23"/>
      <c r="D158" s="23"/>
      <c r="E158" s="23"/>
      <c r="F158" s="23"/>
      <c r="G158" s="23"/>
      <c r="H158" s="23"/>
      <c r="I158" s="23"/>
      <c r="J158" s="23"/>
      <c r="K158" s="24"/>
      <c r="L158" s="24"/>
    </row>
    <row r="159">
      <c r="A159" s="26" t="s">
        <v>125</v>
      </c>
      <c r="B159" s="27" t="s">
        <v>1</v>
      </c>
      <c r="C159" s="28" t="s">
        <v>2</v>
      </c>
      <c r="D159" s="28" t="str">
        <f>CONCATENATE("Выполнено ",INT('ВАЖ ОП'!AJ184/'ВАЖ ОП'!AK184*100),"%")</f>
        <v>#DIV/0!</v>
      </c>
      <c r="E159" s="28" t="s">
        <v>4</v>
      </c>
      <c r="F159" s="29" t="s">
        <v>5</v>
      </c>
      <c r="G159" s="29" t="s">
        <v>6</v>
      </c>
      <c r="H159" s="28" t="s">
        <v>7</v>
      </c>
      <c r="I159" s="28" t="s">
        <v>8</v>
      </c>
      <c r="J159" s="29" t="s">
        <v>10</v>
      </c>
      <c r="K159" s="16"/>
      <c r="L159" s="111"/>
    </row>
    <row r="160">
      <c r="A160" s="112" t="s">
        <v>93</v>
      </c>
      <c r="B160" s="113">
        <v>20.0</v>
      </c>
      <c r="C160" s="78">
        <f>SUM(B164:AE164)+SUM(B173:AE173)</f>
        <v>31</v>
      </c>
      <c r="D160" s="93">
        <f>C160/B160</f>
        <v>1.55</v>
      </c>
      <c r="E160" s="91">
        <f>B160-C160</f>
        <v>-11</v>
      </c>
      <c r="F160" s="78">
        <f>(C160/C157)*B157</f>
        <v>137.2857143</v>
      </c>
      <c r="G160" s="93">
        <f t="shared" ref="G160:G162" si="39">F160/B160</f>
        <v>6.864285714</v>
      </c>
      <c r="H160" s="78">
        <f>F160-B160</f>
        <v>117.2857143</v>
      </c>
      <c r="I160" s="114" t="str">
        <f>E160/('ВАЖ ОП'!AK184-'ВАЖ ОП'!AJ184)</f>
        <v>#DIV/0!</v>
      </c>
      <c r="J160" s="115" t="str">
        <f>C160/'ВАЖ ОП'!AJ184</f>
        <v>#DIV/0!</v>
      </c>
      <c r="K160" s="116"/>
      <c r="L160" s="13"/>
    </row>
    <row r="161">
      <c r="A161" s="112" t="s">
        <v>94</v>
      </c>
      <c r="B161" s="78">
        <f t="shared" ref="B161:C161" si="38">B162/B160</f>
        <v>6500</v>
      </c>
      <c r="C161" s="78">
        <f t="shared" si="38"/>
        <v>5203.165161</v>
      </c>
      <c r="D161" s="93"/>
      <c r="E161" s="79"/>
      <c r="F161" s="78" t="str">
        <f>F162/F160</f>
        <v>#DIV/0!</v>
      </c>
      <c r="G161" s="93" t="str">
        <f t="shared" si="39"/>
        <v>#DIV/0!</v>
      </c>
      <c r="H161" s="116"/>
      <c r="I161" s="117"/>
      <c r="J161" s="116"/>
      <c r="K161" s="116"/>
      <c r="L161" s="13"/>
    </row>
    <row r="162">
      <c r="A162" s="112" t="s">
        <v>95</v>
      </c>
      <c r="B162" s="113">
        <v>130000.0</v>
      </c>
      <c r="C162" s="78">
        <f>SUM(B166:AE166)+SUM(B175:AE175)</f>
        <v>161298.12</v>
      </c>
      <c r="D162" s="93">
        <f>C162/B162</f>
        <v>1.240754769</v>
      </c>
      <c r="E162" s="78">
        <f>B162-C162</f>
        <v>-31298.12</v>
      </c>
      <c r="F162" s="78" t="str">
        <f>C162/'ВАЖ ОП'!AJ184*'ВАЖ ОП'!AK184</f>
        <v>#DIV/0!</v>
      </c>
      <c r="G162" s="93" t="str">
        <f t="shared" si="39"/>
        <v>#DIV/0!</v>
      </c>
      <c r="H162" s="78" t="str">
        <f>F162-B162</f>
        <v>#DIV/0!</v>
      </c>
      <c r="I162" s="78" t="str">
        <f>E162/('ВАЖ ОП'!AK184-'ВАЖ ОП'!AJ184)</f>
        <v>#DIV/0!</v>
      </c>
      <c r="J162" s="91" t="str">
        <f>C162/'ВАЖ ОП'!AJ184</f>
        <v>#DIV/0!</v>
      </c>
      <c r="K162" s="118"/>
      <c r="L162" s="13"/>
    </row>
    <row r="163">
      <c r="A163" s="119" t="s">
        <v>98</v>
      </c>
      <c r="B163" s="120">
        <v>44470.0</v>
      </c>
      <c r="C163" s="120">
        <v>44471.0</v>
      </c>
      <c r="D163" s="120">
        <v>44472.0</v>
      </c>
      <c r="E163" s="120">
        <v>44473.0</v>
      </c>
      <c r="F163" s="120">
        <v>44474.0</v>
      </c>
      <c r="G163" s="120">
        <v>44475.0</v>
      </c>
      <c r="H163" s="120">
        <v>44476.0</v>
      </c>
      <c r="I163" s="120">
        <v>44477.0</v>
      </c>
      <c r="J163" s="120">
        <v>44478.0</v>
      </c>
      <c r="K163" s="120">
        <v>44479.0</v>
      </c>
      <c r="L163" s="120">
        <v>44480.0</v>
      </c>
      <c r="M163" s="120">
        <v>44481.0</v>
      </c>
      <c r="N163" s="120">
        <v>44482.0</v>
      </c>
      <c r="O163" s="120">
        <v>44483.0</v>
      </c>
      <c r="P163" s="120">
        <v>44484.0</v>
      </c>
      <c r="Q163" s="120">
        <v>44485.0</v>
      </c>
      <c r="R163" s="120">
        <v>44486.0</v>
      </c>
      <c r="S163" s="120">
        <v>44487.0</v>
      </c>
      <c r="T163" s="120">
        <v>44488.0</v>
      </c>
      <c r="U163" s="120">
        <v>44489.0</v>
      </c>
      <c r="V163" s="120">
        <v>44490.0</v>
      </c>
      <c r="W163" s="120">
        <v>44491.0</v>
      </c>
      <c r="X163" s="120">
        <v>44492.0</v>
      </c>
      <c r="Y163" s="120">
        <v>44493.0</v>
      </c>
      <c r="Z163" s="120">
        <v>44494.0</v>
      </c>
      <c r="AA163" s="120">
        <v>44495.0</v>
      </c>
      <c r="AB163" s="120">
        <v>44496.0</v>
      </c>
      <c r="AC163" s="120">
        <v>44497.0</v>
      </c>
      <c r="AD163" s="120">
        <v>44498.0</v>
      </c>
      <c r="AE163" s="120">
        <v>44499.0</v>
      </c>
      <c r="AF163" s="120">
        <v>44500.0</v>
      </c>
    </row>
    <row r="164">
      <c r="A164" s="121" t="s">
        <v>93</v>
      </c>
      <c r="B164" s="123"/>
      <c r="C164" s="123"/>
      <c r="D164" s="123"/>
      <c r="E164" s="122">
        <v>1.0</v>
      </c>
      <c r="F164" s="122">
        <v>1.0</v>
      </c>
      <c r="G164" s="122">
        <v>1.0</v>
      </c>
      <c r="H164" s="122">
        <v>2.0</v>
      </c>
      <c r="I164" s="123"/>
      <c r="J164" s="123"/>
      <c r="K164" s="122">
        <v>2.0</v>
      </c>
      <c r="L164" s="123"/>
      <c r="M164" s="122">
        <v>3.0</v>
      </c>
      <c r="N164" s="122">
        <v>1.0</v>
      </c>
      <c r="O164" s="122">
        <v>1.0</v>
      </c>
      <c r="P164" s="122">
        <v>1.0</v>
      </c>
      <c r="Q164" s="123"/>
      <c r="R164" s="122">
        <v>1.0</v>
      </c>
      <c r="S164" s="122">
        <v>3.0</v>
      </c>
      <c r="T164" s="122">
        <v>2.0</v>
      </c>
      <c r="U164" s="122">
        <v>2.0</v>
      </c>
      <c r="V164" s="122">
        <v>1.0</v>
      </c>
      <c r="W164" s="122">
        <v>1.0</v>
      </c>
      <c r="X164" s="123"/>
      <c r="Y164" s="122">
        <v>1.0</v>
      </c>
      <c r="Z164" s="122">
        <v>1.0</v>
      </c>
      <c r="AA164" s="122">
        <v>1.0</v>
      </c>
      <c r="AB164" s="122">
        <v>1.0</v>
      </c>
      <c r="AC164" s="122"/>
      <c r="AD164" s="122"/>
      <c r="AE164" s="123"/>
      <c r="AF164" s="123"/>
    </row>
    <row r="165">
      <c r="A165" s="121" t="s">
        <v>94</v>
      </c>
      <c r="B165" s="123" t="str">
        <f t="shared" ref="B165:AF165" si="40">IFERROR(B166/B164,"-")</f>
        <v>-</v>
      </c>
      <c r="C165" s="123" t="str">
        <f t="shared" si="40"/>
        <v>-</v>
      </c>
      <c r="D165" s="123" t="str">
        <f t="shared" si="40"/>
        <v>-</v>
      </c>
      <c r="E165" s="123">
        <f t="shared" si="40"/>
        <v>2895.4</v>
      </c>
      <c r="F165" s="123">
        <f t="shared" si="40"/>
        <v>4630.39</v>
      </c>
      <c r="G165" s="123">
        <f t="shared" si="40"/>
        <v>7450.3</v>
      </c>
      <c r="H165" s="123">
        <f t="shared" si="40"/>
        <v>3529.375</v>
      </c>
      <c r="I165" s="123" t="str">
        <f t="shared" si="40"/>
        <v>-</v>
      </c>
      <c r="J165" s="123" t="str">
        <f t="shared" si="40"/>
        <v>-</v>
      </c>
      <c r="K165" s="123">
        <f t="shared" si="40"/>
        <v>1427.21</v>
      </c>
      <c r="L165" s="123" t="str">
        <f t="shared" si="40"/>
        <v>-</v>
      </c>
      <c r="M165" s="123">
        <f t="shared" si="40"/>
        <v>2364.413333</v>
      </c>
      <c r="N165" s="123">
        <f t="shared" si="40"/>
        <v>2301.13</v>
      </c>
      <c r="O165" s="123">
        <f t="shared" si="40"/>
        <v>5309.4</v>
      </c>
      <c r="P165" s="123">
        <f t="shared" si="40"/>
        <v>5056.61</v>
      </c>
      <c r="Q165" s="123" t="str">
        <f t="shared" si="40"/>
        <v>-</v>
      </c>
      <c r="R165" s="123">
        <f t="shared" si="40"/>
        <v>3711.96</v>
      </c>
      <c r="S165" s="123">
        <f t="shared" si="40"/>
        <v>1088.426667</v>
      </c>
      <c r="T165" s="123">
        <f t="shared" si="40"/>
        <v>1612.45</v>
      </c>
      <c r="U165" s="123">
        <f t="shared" si="40"/>
        <v>2731.14</v>
      </c>
      <c r="V165" s="123">
        <f t="shared" si="40"/>
        <v>8579.44</v>
      </c>
      <c r="W165" s="123">
        <f t="shared" si="40"/>
        <v>5694.44</v>
      </c>
      <c r="X165" s="123" t="str">
        <f t="shared" si="40"/>
        <v>-</v>
      </c>
      <c r="Y165" s="123">
        <f t="shared" si="40"/>
        <v>4472.31</v>
      </c>
      <c r="Z165" s="123">
        <f t="shared" si="40"/>
        <v>4772.36</v>
      </c>
      <c r="AA165" s="123">
        <f t="shared" si="40"/>
        <v>3732.1</v>
      </c>
      <c r="AB165" s="123">
        <f t="shared" si="40"/>
        <v>6265.44</v>
      </c>
      <c r="AC165" s="123" t="str">
        <f t="shared" si="40"/>
        <v>-</v>
      </c>
      <c r="AD165" s="123" t="str">
        <f t="shared" si="40"/>
        <v>-</v>
      </c>
      <c r="AE165" s="123" t="str">
        <f t="shared" si="40"/>
        <v>-</v>
      </c>
      <c r="AF165" s="123" t="str">
        <f t="shared" si="40"/>
        <v>-</v>
      </c>
    </row>
    <row r="166">
      <c r="A166" s="121" t="s">
        <v>99</v>
      </c>
      <c r="B166" s="123"/>
      <c r="C166" s="123"/>
      <c r="D166" s="123"/>
      <c r="E166" s="122">
        <v>2895.4</v>
      </c>
      <c r="F166" s="122">
        <v>4630.39</v>
      </c>
      <c r="G166" s="122">
        <v>7450.3</v>
      </c>
      <c r="H166" s="122">
        <v>7058.75</v>
      </c>
      <c r="I166" s="122">
        <v>6190.69</v>
      </c>
      <c r="J166" s="122">
        <v>8311.27</v>
      </c>
      <c r="K166" s="122">
        <v>2854.42</v>
      </c>
      <c r="L166" s="122">
        <v>8515.51</v>
      </c>
      <c r="M166" s="122">
        <v>7093.24</v>
      </c>
      <c r="N166" s="122">
        <v>2301.13</v>
      </c>
      <c r="O166" s="122">
        <v>5309.4</v>
      </c>
      <c r="P166" s="122">
        <v>5056.61</v>
      </c>
      <c r="Q166" s="122">
        <v>6245.33</v>
      </c>
      <c r="R166" s="122">
        <v>3711.96</v>
      </c>
      <c r="S166" s="122">
        <v>3265.28</v>
      </c>
      <c r="T166" s="122">
        <v>3224.9</v>
      </c>
      <c r="U166" s="122">
        <v>5462.28</v>
      </c>
      <c r="V166" s="122">
        <v>8579.44</v>
      </c>
      <c r="W166" s="122">
        <v>5694.44</v>
      </c>
      <c r="X166" s="122">
        <v>5968.41</v>
      </c>
      <c r="Y166" s="122">
        <v>4472.31</v>
      </c>
      <c r="Z166" s="122">
        <v>4772.36</v>
      </c>
      <c r="AA166" s="122">
        <v>3732.1</v>
      </c>
      <c r="AB166" s="122">
        <v>6265.44</v>
      </c>
      <c r="AC166" s="122">
        <v>6903.25</v>
      </c>
      <c r="AD166" s="122">
        <v>3053.3</v>
      </c>
      <c r="AE166" s="122">
        <v>42.11</v>
      </c>
      <c r="AF166" s="122"/>
    </row>
    <row r="167">
      <c r="A167" s="51"/>
      <c r="B167" s="87"/>
      <c r="C167" s="85"/>
      <c r="D167" s="85"/>
      <c r="E167" s="85"/>
      <c r="F167" s="85"/>
      <c r="G167" s="85"/>
      <c r="H167" s="85"/>
      <c r="I167" s="85"/>
      <c r="J167" s="85"/>
      <c r="K167" s="51"/>
      <c r="L167" s="51"/>
    </row>
    <row r="168">
      <c r="A168" s="26" t="s">
        <v>106</v>
      </c>
      <c r="B168" s="27" t="s">
        <v>1</v>
      </c>
      <c r="C168" s="28" t="s">
        <v>2</v>
      </c>
      <c r="D168" s="28" t="str">
        <f>CONCATENATE("Выполнено ",INT('ВАЖ ОП'!AJ184/'ВАЖ ОП'!AK184*100),"%")</f>
        <v>#DIV/0!</v>
      </c>
      <c r="E168" s="28" t="s">
        <v>4</v>
      </c>
      <c r="F168" s="29" t="s">
        <v>5</v>
      </c>
      <c r="G168" s="29" t="s">
        <v>6</v>
      </c>
      <c r="H168" s="28" t="s">
        <v>7</v>
      </c>
      <c r="I168" s="28" t="s">
        <v>8</v>
      </c>
      <c r="J168" s="29" t="s">
        <v>10</v>
      </c>
      <c r="K168" s="16"/>
      <c r="L168" s="51"/>
    </row>
    <row r="169">
      <c r="A169" s="112" t="s">
        <v>93</v>
      </c>
      <c r="B169" s="113">
        <v>8.0</v>
      </c>
      <c r="C169" s="78">
        <f>SUM(B173:AE173)</f>
        <v>4</v>
      </c>
      <c r="D169" s="135"/>
      <c r="E169" s="91"/>
      <c r="F169" s="78">
        <f>(C169/C157)*B157</f>
        <v>17.71428571</v>
      </c>
      <c r="G169" s="136"/>
      <c r="H169" s="78"/>
      <c r="I169" s="114"/>
      <c r="J169" s="115" t="str">
        <f>C169/'ВАЖ ОП'!AJ184</f>
        <v>#DIV/0!</v>
      </c>
      <c r="K169" s="13"/>
      <c r="L169" s="13"/>
    </row>
    <row r="170">
      <c r="A170" s="112" t="s">
        <v>94</v>
      </c>
      <c r="B170" s="78">
        <f>B171/B169</f>
        <v>6000</v>
      </c>
      <c r="C170" s="132">
        <f>IFERROR(C171/C169,"-")</f>
        <v>5559.525</v>
      </c>
      <c r="D170" s="93"/>
      <c r="E170" s="84"/>
      <c r="F170" s="132" t="str">
        <f>IFERROR(F171/F169,"-")</f>
        <v>-</v>
      </c>
      <c r="H170" s="79"/>
      <c r="I170" s="78"/>
      <c r="J170" s="116"/>
      <c r="K170" s="13"/>
      <c r="L170" s="13"/>
    </row>
    <row r="171">
      <c r="A171" s="112" t="s">
        <v>95</v>
      </c>
      <c r="B171" s="113">
        <v>48000.0</v>
      </c>
      <c r="C171" s="78">
        <f>SUM(B175:AE175)</f>
        <v>22238.1</v>
      </c>
      <c r="D171" s="135"/>
      <c r="E171" s="78"/>
      <c r="F171" s="78" t="str">
        <f>C171/'ВАЖ ОП'!AJ184*'ВАЖ ОП'!AK184</f>
        <v>#DIV/0!</v>
      </c>
      <c r="G171" s="136"/>
      <c r="H171" s="78"/>
      <c r="I171" s="78"/>
      <c r="J171" s="91" t="str">
        <f>C171/'ВАЖ ОП'!AJ184</f>
        <v>#DIV/0!</v>
      </c>
      <c r="K171" s="87"/>
      <c r="L171" s="13"/>
    </row>
    <row r="172">
      <c r="A172" s="119" t="s">
        <v>108</v>
      </c>
      <c r="B172" s="120">
        <v>44470.0</v>
      </c>
      <c r="C172" s="120">
        <v>44471.0</v>
      </c>
      <c r="D172" s="120">
        <v>44472.0</v>
      </c>
      <c r="E172" s="120">
        <v>44473.0</v>
      </c>
      <c r="F172" s="120">
        <v>44474.0</v>
      </c>
      <c r="G172" s="120">
        <v>44475.0</v>
      </c>
      <c r="H172" s="120">
        <v>44476.0</v>
      </c>
      <c r="I172" s="120">
        <v>44477.0</v>
      </c>
      <c r="J172" s="120">
        <v>44478.0</v>
      </c>
      <c r="K172" s="120">
        <v>44479.0</v>
      </c>
      <c r="L172" s="120">
        <v>44480.0</v>
      </c>
      <c r="M172" s="120">
        <v>44481.0</v>
      </c>
      <c r="N172" s="120">
        <v>44482.0</v>
      </c>
      <c r="O172" s="120">
        <v>44483.0</v>
      </c>
      <c r="P172" s="120">
        <v>44484.0</v>
      </c>
      <c r="Q172" s="120">
        <v>44485.0</v>
      </c>
      <c r="R172" s="120">
        <v>44486.0</v>
      </c>
      <c r="S172" s="120">
        <v>44487.0</v>
      </c>
      <c r="T172" s="120">
        <v>44488.0</v>
      </c>
      <c r="U172" s="120">
        <v>44489.0</v>
      </c>
      <c r="V172" s="120">
        <v>44490.0</v>
      </c>
      <c r="W172" s="120">
        <v>44491.0</v>
      </c>
      <c r="X172" s="120">
        <v>44492.0</v>
      </c>
      <c r="Y172" s="120">
        <v>44493.0</v>
      </c>
      <c r="Z172" s="120">
        <v>44494.0</v>
      </c>
      <c r="AA172" s="120">
        <v>44495.0</v>
      </c>
      <c r="AB172" s="120">
        <v>44496.0</v>
      </c>
      <c r="AC172" s="120">
        <v>44497.0</v>
      </c>
      <c r="AD172" s="120">
        <v>44498.0</v>
      </c>
      <c r="AE172" s="120">
        <v>44499.0</v>
      </c>
      <c r="AF172" s="120">
        <v>44500.0</v>
      </c>
    </row>
    <row r="173">
      <c r="A173" s="121" t="s">
        <v>93</v>
      </c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3"/>
      <c r="S173" s="123"/>
      <c r="T173" s="122"/>
      <c r="U173" s="122">
        <v>1.0</v>
      </c>
      <c r="V173" s="122">
        <v>1.0</v>
      </c>
      <c r="W173" s="122">
        <v>1.0</v>
      </c>
      <c r="X173" s="122"/>
      <c r="Y173" s="122">
        <v>1.0</v>
      </c>
      <c r="Z173" s="123"/>
      <c r="AA173" s="123"/>
      <c r="AB173" s="123"/>
      <c r="AC173" s="123"/>
      <c r="AD173" s="123"/>
      <c r="AE173" s="123"/>
      <c r="AF173" s="123"/>
    </row>
    <row r="174">
      <c r="A174" s="121" t="s">
        <v>94</v>
      </c>
      <c r="B174" s="123" t="str">
        <f t="shared" ref="B174:AF174" si="41">IFERROR(B175/B173,"-")</f>
        <v>-</v>
      </c>
      <c r="C174" s="123" t="str">
        <f t="shared" si="41"/>
        <v>-</v>
      </c>
      <c r="D174" s="123" t="str">
        <f t="shared" si="41"/>
        <v>-</v>
      </c>
      <c r="E174" s="123" t="str">
        <f t="shared" si="41"/>
        <v>-</v>
      </c>
      <c r="F174" s="123" t="str">
        <f t="shared" si="41"/>
        <v>-</v>
      </c>
      <c r="G174" s="123" t="str">
        <f t="shared" si="41"/>
        <v>-</v>
      </c>
      <c r="H174" s="123" t="str">
        <f t="shared" si="41"/>
        <v>-</v>
      </c>
      <c r="I174" s="123" t="str">
        <f t="shared" si="41"/>
        <v>-</v>
      </c>
      <c r="J174" s="123" t="str">
        <f t="shared" si="41"/>
        <v>-</v>
      </c>
      <c r="K174" s="123" t="str">
        <f t="shared" si="41"/>
        <v>-</v>
      </c>
      <c r="L174" s="123" t="str">
        <f t="shared" si="41"/>
        <v>-</v>
      </c>
      <c r="M174" s="123" t="str">
        <f t="shared" si="41"/>
        <v>-</v>
      </c>
      <c r="N174" s="123" t="str">
        <f t="shared" si="41"/>
        <v>-</v>
      </c>
      <c r="O174" s="123" t="str">
        <f t="shared" si="41"/>
        <v>-</v>
      </c>
      <c r="P174" s="123" t="str">
        <f t="shared" si="41"/>
        <v>-</v>
      </c>
      <c r="Q174" s="123" t="str">
        <f t="shared" si="41"/>
        <v>-</v>
      </c>
      <c r="R174" s="123" t="str">
        <f t="shared" si="41"/>
        <v>-</v>
      </c>
      <c r="S174" s="123" t="str">
        <f t="shared" si="41"/>
        <v>-</v>
      </c>
      <c r="T174" s="123" t="str">
        <f t="shared" si="41"/>
        <v>-</v>
      </c>
      <c r="U174" s="123">
        <f t="shared" si="41"/>
        <v>0</v>
      </c>
      <c r="V174" s="123">
        <f t="shared" si="41"/>
        <v>3000</v>
      </c>
      <c r="W174" s="123">
        <f t="shared" si="41"/>
        <v>3000</v>
      </c>
      <c r="X174" s="123" t="str">
        <f t="shared" si="41"/>
        <v>-</v>
      </c>
      <c r="Y174" s="123">
        <f t="shared" si="41"/>
        <v>3000</v>
      </c>
      <c r="Z174" s="123" t="str">
        <f t="shared" si="41"/>
        <v>-</v>
      </c>
      <c r="AA174" s="123" t="str">
        <f t="shared" si="41"/>
        <v>-</v>
      </c>
      <c r="AB174" s="123" t="str">
        <f t="shared" si="41"/>
        <v>-</v>
      </c>
      <c r="AC174" s="123" t="str">
        <f t="shared" si="41"/>
        <v>-</v>
      </c>
      <c r="AD174" s="123" t="str">
        <f t="shared" si="41"/>
        <v>-</v>
      </c>
      <c r="AE174" s="123" t="str">
        <f t="shared" si="41"/>
        <v>-</v>
      </c>
      <c r="AF174" s="123" t="str">
        <f t="shared" si="41"/>
        <v>-</v>
      </c>
    </row>
    <row r="175">
      <c r="A175" s="121" t="s">
        <v>99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>
        <v>5000.0</v>
      </c>
      <c r="N175" s="122"/>
      <c r="O175" s="122"/>
      <c r="P175" s="122"/>
      <c r="Q175" s="122"/>
      <c r="R175" s="123"/>
      <c r="S175" s="123"/>
      <c r="T175" s="123"/>
      <c r="U175" s="123"/>
      <c r="V175" s="122">
        <v>3000.0</v>
      </c>
      <c r="W175" s="122">
        <v>3000.0</v>
      </c>
      <c r="X175" s="123"/>
      <c r="Y175" s="122">
        <v>3000.0</v>
      </c>
      <c r="Z175" s="122">
        <v>8238.1</v>
      </c>
      <c r="AA175" s="123"/>
      <c r="AB175" s="123"/>
      <c r="AC175" s="123"/>
      <c r="AD175" s="123"/>
      <c r="AE175" s="123"/>
      <c r="AF175" s="123"/>
    </row>
    <row r="176">
      <c r="A176" s="35"/>
      <c r="B176" s="53"/>
      <c r="C176" s="53"/>
      <c r="D176" s="53"/>
      <c r="E176" s="53"/>
      <c r="F176" s="55"/>
      <c r="G176" s="55"/>
      <c r="H176" s="54"/>
      <c r="I176" s="54"/>
      <c r="J176" s="54"/>
      <c r="K176" s="54"/>
      <c r="L176" s="54"/>
    </row>
    <row r="177">
      <c r="A177" s="26" t="s">
        <v>126</v>
      </c>
      <c r="B177" s="27" t="s">
        <v>1</v>
      </c>
      <c r="C177" s="28" t="s">
        <v>2</v>
      </c>
      <c r="D177" s="28" t="str">
        <f>CONCATENATE("Выполнено ",INT('ВАЖ ОП'!AJ184/'ВАЖ ОП'!AK184*100),"%")</f>
        <v>#DIV/0!</v>
      </c>
      <c r="E177" s="28" t="s">
        <v>4</v>
      </c>
      <c r="F177" s="29" t="s">
        <v>5</v>
      </c>
      <c r="G177" s="29" t="s">
        <v>6</v>
      </c>
      <c r="H177" s="28" t="s">
        <v>7</v>
      </c>
      <c r="I177" s="28" t="s">
        <v>8</v>
      </c>
      <c r="J177" s="29" t="s">
        <v>10</v>
      </c>
      <c r="K177" s="16"/>
      <c r="L177" s="51"/>
    </row>
    <row r="178">
      <c r="A178" s="112" t="s">
        <v>93</v>
      </c>
      <c r="B178" s="113">
        <v>15.0</v>
      </c>
      <c r="C178" s="78">
        <f>SUM(B182:AE182)</f>
        <v>23</v>
      </c>
      <c r="D178" s="93">
        <f>C178/B178</f>
        <v>1.533333333</v>
      </c>
      <c r="E178" s="91">
        <f>B178-C178</f>
        <v>-8</v>
      </c>
      <c r="F178" s="78">
        <f>(C178/C157)*B157</f>
        <v>101.8571429</v>
      </c>
      <c r="G178" s="129">
        <f t="shared" ref="G178:G180" si="43">F178/B178</f>
        <v>6.79047619</v>
      </c>
      <c r="H178" s="78">
        <f>F178-B178</f>
        <v>86.85714286</v>
      </c>
      <c r="I178" s="114" t="str">
        <f>E178/('ВАЖ ОП'!AK184-'ВАЖ ОП'!AJ184)</f>
        <v>#DIV/0!</v>
      </c>
      <c r="J178" s="115" t="str">
        <f>C178/'ВАЖ ОП'!AJ184</f>
        <v>#DIV/0!</v>
      </c>
      <c r="K178" s="79"/>
      <c r="L178" s="79"/>
    </row>
    <row r="179">
      <c r="A179" s="112" t="s">
        <v>94</v>
      </c>
      <c r="B179" s="78">
        <f t="shared" ref="B179:C179" si="42">B180/B178</f>
        <v>8000</v>
      </c>
      <c r="C179" s="78">
        <f t="shared" si="42"/>
        <v>7197.608696</v>
      </c>
      <c r="D179" s="93"/>
      <c r="E179" s="79"/>
      <c r="F179" s="78" t="str">
        <f>F180/F178</f>
        <v>#DIV/0!</v>
      </c>
      <c r="G179" s="93" t="str">
        <f t="shared" si="43"/>
        <v>#DIV/0!</v>
      </c>
      <c r="H179" s="79"/>
      <c r="I179" s="78"/>
      <c r="J179" s="116"/>
      <c r="K179" s="79"/>
      <c r="L179" s="79"/>
    </row>
    <row r="180">
      <c r="A180" s="112" t="s">
        <v>95</v>
      </c>
      <c r="B180" s="113">
        <v>120000.0</v>
      </c>
      <c r="C180" s="78">
        <f>SUM(B184:AE184)</f>
        <v>165545</v>
      </c>
      <c r="D180" s="93">
        <f>C180/B180</f>
        <v>1.379541667</v>
      </c>
      <c r="E180" s="78">
        <f>B180-C180</f>
        <v>-45545</v>
      </c>
      <c r="F180" s="78" t="str">
        <f>C180/'ВАЖ ОП'!AJ184*'ВАЖ ОП'!AK184</f>
        <v>#DIV/0!</v>
      </c>
      <c r="G180" s="129" t="str">
        <f t="shared" si="43"/>
        <v>#DIV/0!</v>
      </c>
      <c r="H180" s="78" t="str">
        <f>F180-B180</f>
        <v>#DIV/0!</v>
      </c>
      <c r="I180" s="78" t="str">
        <f>E180/('ВАЖ ОП'!AK184-'ВАЖ ОП'!AJ184)</f>
        <v>#DIV/0!</v>
      </c>
      <c r="J180" s="91" t="str">
        <f>C180/'ВАЖ ОП'!AJ184</f>
        <v>#DIV/0!</v>
      </c>
      <c r="K180" s="79"/>
      <c r="L180" s="79"/>
    </row>
    <row r="181">
      <c r="A181" s="119" t="s">
        <v>101</v>
      </c>
      <c r="B181" s="120">
        <v>44470.0</v>
      </c>
      <c r="C181" s="120">
        <v>44471.0</v>
      </c>
      <c r="D181" s="120">
        <v>44472.0</v>
      </c>
      <c r="E181" s="120">
        <v>44473.0</v>
      </c>
      <c r="F181" s="120">
        <v>44474.0</v>
      </c>
      <c r="G181" s="120">
        <v>44475.0</v>
      </c>
      <c r="H181" s="120">
        <v>44476.0</v>
      </c>
      <c r="I181" s="120">
        <v>44477.0</v>
      </c>
      <c r="J181" s="120">
        <v>44478.0</v>
      </c>
      <c r="K181" s="120">
        <v>44479.0</v>
      </c>
      <c r="L181" s="120">
        <v>44480.0</v>
      </c>
      <c r="M181" s="120">
        <v>44481.0</v>
      </c>
      <c r="N181" s="120">
        <v>44482.0</v>
      </c>
      <c r="O181" s="120">
        <v>44483.0</v>
      </c>
      <c r="P181" s="120">
        <v>44484.0</v>
      </c>
      <c r="Q181" s="120">
        <v>44485.0</v>
      </c>
      <c r="R181" s="120">
        <v>44486.0</v>
      </c>
      <c r="S181" s="120">
        <v>44487.0</v>
      </c>
      <c r="T181" s="120">
        <v>44488.0</v>
      </c>
      <c r="U181" s="120">
        <v>44489.0</v>
      </c>
      <c r="V181" s="120">
        <v>44490.0</v>
      </c>
      <c r="W181" s="120">
        <v>44491.0</v>
      </c>
      <c r="X181" s="120">
        <v>44492.0</v>
      </c>
      <c r="Y181" s="120">
        <v>44493.0</v>
      </c>
      <c r="Z181" s="120">
        <v>44494.0</v>
      </c>
      <c r="AA181" s="120">
        <v>44495.0</v>
      </c>
      <c r="AB181" s="120">
        <v>44496.0</v>
      </c>
      <c r="AC181" s="120">
        <v>44497.0</v>
      </c>
      <c r="AD181" s="120">
        <v>44498.0</v>
      </c>
      <c r="AE181" s="120">
        <v>44499.0</v>
      </c>
      <c r="AF181" s="120">
        <v>44500.0</v>
      </c>
    </row>
    <row r="182">
      <c r="A182" s="121" t="s">
        <v>93</v>
      </c>
      <c r="B182" s="140"/>
      <c r="C182" s="140"/>
      <c r="D182" s="140"/>
      <c r="E182" s="140"/>
      <c r="F182" s="90"/>
      <c r="G182" s="141">
        <v>1.0</v>
      </c>
      <c r="H182" s="141">
        <v>1.0</v>
      </c>
      <c r="I182" s="140"/>
      <c r="J182" s="141">
        <v>1.0</v>
      </c>
      <c r="K182" s="141">
        <v>2.0</v>
      </c>
      <c r="L182" s="139">
        <v>2.0</v>
      </c>
      <c r="M182" s="90"/>
      <c r="N182" s="140"/>
      <c r="O182" s="139">
        <v>1.0</v>
      </c>
      <c r="P182" s="90"/>
      <c r="Q182" s="141">
        <v>1.0</v>
      </c>
      <c r="R182" s="122">
        <v>2.0</v>
      </c>
      <c r="S182" s="122">
        <v>1.0</v>
      </c>
      <c r="T182" s="122">
        <v>2.0</v>
      </c>
      <c r="U182" s="122">
        <v>2.0</v>
      </c>
      <c r="V182" s="122">
        <v>2.0</v>
      </c>
      <c r="W182" s="122">
        <v>1.0</v>
      </c>
      <c r="X182" s="123"/>
      <c r="Y182" s="122">
        <v>1.0</v>
      </c>
      <c r="Z182" s="122">
        <v>2.0</v>
      </c>
      <c r="AA182" s="122">
        <v>1.0</v>
      </c>
      <c r="AB182" s="122"/>
      <c r="AC182" s="123"/>
      <c r="AD182" s="122"/>
      <c r="AE182" s="123"/>
      <c r="AF182" s="123"/>
    </row>
    <row r="183">
      <c r="A183" s="121" t="s">
        <v>94</v>
      </c>
      <c r="B183" s="123" t="str">
        <f t="shared" ref="B183:AF183" si="44">IFERROR(B184/B182,"-")</f>
        <v>-</v>
      </c>
      <c r="C183" s="123" t="str">
        <f t="shared" si="44"/>
        <v>-</v>
      </c>
      <c r="D183" s="123" t="str">
        <f t="shared" si="44"/>
        <v>-</v>
      </c>
      <c r="E183" s="123" t="str">
        <f t="shared" si="44"/>
        <v>-</v>
      </c>
      <c r="F183" s="123" t="str">
        <f t="shared" si="44"/>
        <v>-</v>
      </c>
      <c r="G183" s="123">
        <f t="shared" si="44"/>
        <v>7864.02</v>
      </c>
      <c r="H183" s="123">
        <f t="shared" si="44"/>
        <v>6950.83</v>
      </c>
      <c r="I183" s="123" t="str">
        <f t="shared" si="44"/>
        <v>-</v>
      </c>
      <c r="J183" s="123">
        <f t="shared" si="44"/>
        <v>6660.68</v>
      </c>
      <c r="K183" s="123">
        <f t="shared" si="44"/>
        <v>2542.12</v>
      </c>
      <c r="L183" s="123">
        <f t="shared" si="44"/>
        <v>1961.055</v>
      </c>
      <c r="M183" s="123" t="str">
        <f t="shared" si="44"/>
        <v>-</v>
      </c>
      <c r="N183" s="123" t="str">
        <f t="shared" si="44"/>
        <v>-</v>
      </c>
      <c r="O183" s="123">
        <f t="shared" si="44"/>
        <v>4682.38</v>
      </c>
      <c r="P183" s="123" t="str">
        <f t="shared" si="44"/>
        <v>-</v>
      </c>
      <c r="Q183" s="123">
        <f t="shared" si="44"/>
        <v>6554.53</v>
      </c>
      <c r="R183" s="123">
        <f t="shared" si="44"/>
        <v>3673.315</v>
      </c>
      <c r="S183" s="123">
        <f t="shared" si="44"/>
        <v>5235.83</v>
      </c>
      <c r="T183" s="123">
        <f t="shared" si="44"/>
        <v>4795.62</v>
      </c>
      <c r="U183" s="123">
        <f t="shared" si="44"/>
        <v>5880.57</v>
      </c>
      <c r="V183" s="123">
        <f t="shared" si="44"/>
        <v>5136.82</v>
      </c>
      <c r="W183" s="123">
        <f t="shared" si="44"/>
        <v>8351.05</v>
      </c>
      <c r="X183" s="123" t="str">
        <f t="shared" si="44"/>
        <v>-</v>
      </c>
      <c r="Y183" s="123">
        <f t="shared" si="44"/>
        <v>9738.82</v>
      </c>
      <c r="Z183" s="123">
        <f t="shared" si="44"/>
        <v>5238.71</v>
      </c>
      <c r="AA183" s="123">
        <f t="shared" si="44"/>
        <v>8849.59</v>
      </c>
      <c r="AB183" s="123" t="str">
        <f t="shared" si="44"/>
        <v>-</v>
      </c>
      <c r="AC183" s="123" t="str">
        <f t="shared" si="44"/>
        <v>-</v>
      </c>
      <c r="AD183" s="123" t="str">
        <f t="shared" si="44"/>
        <v>-</v>
      </c>
      <c r="AE183" s="123" t="str">
        <f t="shared" si="44"/>
        <v>-</v>
      </c>
      <c r="AF183" s="123" t="str">
        <f t="shared" si="44"/>
        <v>-</v>
      </c>
    </row>
    <row r="184">
      <c r="A184" s="121" t="s">
        <v>99</v>
      </c>
      <c r="B184" s="144"/>
      <c r="C184" s="144"/>
      <c r="D184" s="144"/>
      <c r="E184" s="142">
        <v>3752.8</v>
      </c>
      <c r="F184" s="142">
        <v>5416.07</v>
      </c>
      <c r="G184" s="142">
        <v>7864.02</v>
      </c>
      <c r="H184" s="142">
        <v>6950.83</v>
      </c>
      <c r="I184" s="142">
        <v>4664.75</v>
      </c>
      <c r="J184" s="142">
        <v>6660.68</v>
      </c>
      <c r="K184" s="142">
        <v>5084.24</v>
      </c>
      <c r="L184" s="142">
        <v>3922.11</v>
      </c>
      <c r="M184" s="143">
        <v>6789.46</v>
      </c>
      <c r="N184" s="142">
        <v>8117.51</v>
      </c>
      <c r="O184" s="142">
        <v>4682.38</v>
      </c>
      <c r="P184" s="142">
        <v>3601.19</v>
      </c>
      <c r="Q184" s="142">
        <v>6554.53</v>
      </c>
      <c r="R184" s="122">
        <v>7346.63</v>
      </c>
      <c r="S184" s="122">
        <v>5235.83</v>
      </c>
      <c r="T184" s="122">
        <v>9591.24</v>
      </c>
      <c r="U184" s="122">
        <v>11761.14</v>
      </c>
      <c r="V184" s="122">
        <v>10273.64</v>
      </c>
      <c r="W184" s="122">
        <v>8351.05</v>
      </c>
      <c r="X184" s="122">
        <v>4847.28</v>
      </c>
      <c r="Y184" s="122">
        <v>9738.82</v>
      </c>
      <c r="Z184" s="122">
        <v>10477.42</v>
      </c>
      <c r="AA184" s="122">
        <v>8849.59</v>
      </c>
      <c r="AB184" s="122">
        <v>5011.79</v>
      </c>
      <c r="AC184" s="122"/>
      <c r="AD184" s="122"/>
      <c r="AE184" s="122"/>
      <c r="AF184" s="122">
        <v>522.19</v>
      </c>
    </row>
    <row r="186">
      <c r="A186" s="26"/>
      <c r="B186" s="27"/>
      <c r="C186" s="28"/>
      <c r="D186" s="28"/>
      <c r="E186" s="28"/>
      <c r="F186" s="29"/>
      <c r="G186" s="29"/>
      <c r="H186" s="28"/>
      <c r="I186" s="28"/>
      <c r="J186" s="29"/>
      <c r="K186" s="16"/>
      <c r="L186" s="51"/>
    </row>
    <row r="187">
      <c r="A187" s="112"/>
      <c r="B187" s="113"/>
      <c r="C187" s="78"/>
      <c r="D187" s="135"/>
      <c r="E187" s="91"/>
      <c r="F187" s="78"/>
      <c r="H187" s="78"/>
      <c r="I187" s="114"/>
      <c r="J187" s="115"/>
      <c r="K187" s="79"/>
      <c r="L187" s="79"/>
    </row>
  </sheetData>
  <conditionalFormatting sqref="G4 G10 G28 G44 G62 G73 G79 G97 G113 G131 G156 G162 G180">
    <cfRule type="cellIs" dxfId="1" priority="1" operator="lessThanOrEqual">
      <formula>"100%"</formula>
    </cfRule>
  </conditionalFormatting>
  <conditionalFormatting sqref="G17 G51 G86 G120 G169">
    <cfRule type="cellIs" dxfId="0" priority="2" operator="lessThan">
      <formula>"100%"</formula>
    </cfRule>
  </conditionalFormatting>
  <conditionalFormatting sqref="G19 G53 G88 G122 G171">
    <cfRule type="cellIs" dxfId="1" priority="3" operator="lessThan">
      <formula>"100%"</formula>
    </cfRule>
  </conditionalFormatting>
  <conditionalFormatting sqref="G4 G10 G28 G44 G62 G73 G79 G97 G113 G131 G156 G162 G180">
    <cfRule type="cellIs" dxfId="0" priority="4" operator="greaterThan">
      <formula>"100%"</formula>
    </cfRule>
  </conditionalFormatting>
  <conditionalFormatting sqref="H19 H53 H88 H122 H171">
    <cfRule type="cellIs" dxfId="1" priority="5" operator="lessThan">
      <formula>0</formula>
    </cfRule>
  </conditionalFormatting>
  <conditionalFormatting sqref="H4 H10 H19 H28 H44 H53 H62 H73 H79 H88 H97 H113 H122 H131 H156 H162 H171 H180">
    <cfRule type="cellIs" dxfId="0" priority="6" operator="greaterThan">
      <formula>0</formula>
    </cfRule>
  </conditionalFormatting>
  <conditionalFormatting sqref="H2 H8 H26 H35 H42 H60 H71 H77 H95 H104 H111 H129 H154 H160 H178 H187">
    <cfRule type="cellIs" dxfId="1" priority="7" operator="greaterThanOrEqual">
      <formula>0</formula>
    </cfRule>
  </conditionalFormatting>
  <conditionalFormatting sqref="H4 H10 H19 H28 H44 H53 H62 H73 H79 H88 H97 H113 H122 H131 H156 H162 H171 H180">
    <cfRule type="cellIs" dxfId="1" priority="8" operator="lessThanOrEqual">
      <formula>0</formula>
    </cfRule>
  </conditionalFormatting>
  <conditionalFormatting sqref="H2 H8 H26 H35 H42 H60 H71 H77 H95 H104 H111 H129 H154 H160 H178 H187">
    <cfRule type="cellIs" dxfId="0" priority="9" operator="lessThan">
      <formula>0</formula>
    </cfRule>
  </conditionalFormatting>
  <conditionalFormatting sqref="G2 G8 G17 G26 G42 G51 G60 G71 G77 G86 G95 G111 G120 G129 G154 G160 G169 G178">
    <cfRule type="cellIs" dxfId="1" priority="10" operator="greaterThanOrEqual">
      <formula>"100%"</formula>
    </cfRule>
  </conditionalFormatting>
  <conditionalFormatting sqref="C3 C72 C155">
    <cfRule type="cellIs" dxfId="0" priority="11" operator="greaterThan">
      <formula>B3</formula>
    </cfRule>
  </conditionalFormatting>
  <conditionalFormatting sqref="G3 G9 G27 G43 G61 G72 G78 G96 G112 G130 G155 G161 G179">
    <cfRule type="cellIs" dxfId="1" priority="12" operator="lessThanOrEqual">
      <formula>"100%"</formula>
    </cfRule>
  </conditionalFormatting>
  <conditionalFormatting sqref="G3 G9 G27 G43 G61 G72 G78 G96 G112 G130 G155 G161 G179">
    <cfRule type="cellIs" dxfId="3" priority="13" operator="greaterThan">
      <formula>"100%"</formula>
    </cfRule>
  </conditionalFormatting>
  <conditionalFormatting sqref="G2 G8 G17 G26 G42 G51 G60 G71 G77 G86 G95 G111 G120 G129 G154 G160 G169 G178">
    <cfRule type="cellIs" dxfId="0" priority="14" operator="lessThan">
      <formula>"100%"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1.29"/>
  </cols>
  <sheetData>
    <row r="1">
      <c r="A1" s="100" t="s">
        <v>115</v>
      </c>
      <c r="B1" s="101" t="s">
        <v>1</v>
      </c>
      <c r="C1" s="102" t="s">
        <v>2</v>
      </c>
      <c r="D1" s="102" t="str">
        <f>CONCATENATE("Выполнено ",INT('ВАЖ ОП'!AJ113/'ВАЖ ОП'!AK113*100),"%")</f>
        <v>Выполнено 22%</v>
      </c>
      <c r="E1" s="102" t="s">
        <v>4</v>
      </c>
      <c r="F1" s="103" t="s">
        <v>5</v>
      </c>
      <c r="G1" s="103" t="s">
        <v>6</v>
      </c>
      <c r="H1" s="104" t="s">
        <v>7</v>
      </c>
      <c r="I1" s="104" t="s">
        <v>8</v>
      </c>
      <c r="J1" s="103" t="s">
        <v>10</v>
      </c>
      <c r="K1" s="16"/>
    </row>
    <row r="2">
      <c r="A2" s="105" t="s">
        <v>93</v>
      </c>
      <c r="B2" s="9">
        <f>B8+B17+B26</f>
        <v>65</v>
      </c>
      <c r="C2" s="9">
        <f>C8+C26</f>
        <v>20</v>
      </c>
      <c r="D2" s="10">
        <f>C2/B2</f>
        <v>0.3076923077</v>
      </c>
      <c r="E2" s="9">
        <f>B2-C2</f>
        <v>45</v>
      </c>
      <c r="F2" s="9">
        <f>C2/'ВАЖ ОП'!AJ113*'ВАЖ ОП'!AK113</f>
        <v>88.57142857</v>
      </c>
      <c r="G2" s="10">
        <f t="shared" ref="G2:G4" si="2">F2/B2</f>
        <v>1.362637363</v>
      </c>
      <c r="H2" s="9">
        <f>F2-B2</f>
        <v>23.57142857</v>
      </c>
      <c r="I2" s="106">
        <f>E2/('ВАЖ ОП'!AK113-'ВАЖ ОП'!AJ113)</f>
        <v>1.875</v>
      </c>
      <c r="J2" s="46">
        <f>C2/'ВАЖ ОП'!AJ113</f>
        <v>2.857142857</v>
      </c>
      <c r="K2" s="107"/>
    </row>
    <row r="3">
      <c r="A3" s="105" t="s">
        <v>94</v>
      </c>
      <c r="B3" s="8">
        <f t="shared" ref="B3:C3" si="1">B4/B2</f>
        <v>2000</v>
      </c>
      <c r="C3" s="9">
        <f t="shared" si="1"/>
        <v>335.214</v>
      </c>
      <c r="D3" s="10"/>
      <c r="E3" s="109"/>
      <c r="F3" s="9">
        <f>F4/F2</f>
        <v>335.214</v>
      </c>
      <c r="G3" s="10">
        <f t="shared" si="2"/>
        <v>0.167607</v>
      </c>
      <c r="H3" s="109"/>
      <c r="I3" s="109"/>
      <c r="J3" s="107"/>
      <c r="K3" s="107"/>
    </row>
    <row r="4">
      <c r="A4" s="105" t="s">
        <v>95</v>
      </c>
      <c r="B4" s="9">
        <f t="shared" ref="B4:C4" si="3">B10+B19+B28</f>
        <v>130000</v>
      </c>
      <c r="C4" s="9">
        <f t="shared" si="3"/>
        <v>6704.28</v>
      </c>
      <c r="D4" s="10">
        <f>C4/B4</f>
        <v>0.05157138462</v>
      </c>
      <c r="E4" s="9">
        <f>B4-C4</f>
        <v>123295.72</v>
      </c>
      <c r="F4" s="9">
        <f>C4/'ВАЖ ОП'!AJ113*'ВАЖ ОП'!AK113</f>
        <v>29690.38286</v>
      </c>
      <c r="G4" s="10">
        <f t="shared" si="2"/>
        <v>0.2283875604</v>
      </c>
      <c r="H4" s="9">
        <f>F4-B4</f>
        <v>-100309.6171</v>
      </c>
      <c r="I4" s="19">
        <f>E4/('ВАЖ ОП'!AK113-'ВАЖ ОП'!AJ113)</f>
        <v>5137.321667</v>
      </c>
      <c r="J4" s="19">
        <f>C4/'ВАЖ ОП'!AJ113</f>
        <v>957.7542857</v>
      </c>
      <c r="K4" s="107"/>
    </row>
    <row r="5">
      <c r="A5" s="50" t="s">
        <v>116</v>
      </c>
      <c r="B5" s="50">
        <v>31.0</v>
      </c>
      <c r="C5" s="138">
        <f>DAY(TODAY()-1)</f>
        <v>7</v>
      </c>
    </row>
    <row r="6">
      <c r="A6" s="110" t="s">
        <v>96</v>
      </c>
      <c r="B6" s="22"/>
      <c r="C6" s="23"/>
      <c r="D6" s="23"/>
      <c r="E6" s="23"/>
      <c r="F6" s="23"/>
      <c r="G6" s="23"/>
      <c r="H6" s="23"/>
      <c r="I6" s="23"/>
      <c r="J6" s="23"/>
      <c r="K6" s="24"/>
      <c r="L6" s="24"/>
    </row>
    <row r="7">
      <c r="A7" s="26" t="s">
        <v>97</v>
      </c>
      <c r="B7" s="27" t="s">
        <v>1</v>
      </c>
      <c r="C7" s="28" t="s">
        <v>2</v>
      </c>
      <c r="D7" s="28" t="str">
        <f>CONCATENATE("Выполнено ",INT('ВАЖ ОП'!AJ113/'ВАЖ ОП'!AK113*100),"%")</f>
        <v>Выполнено 22%</v>
      </c>
      <c r="E7" s="28" t="s">
        <v>4</v>
      </c>
      <c r="F7" s="29" t="s">
        <v>5</v>
      </c>
      <c r="G7" s="29" t="s">
        <v>6</v>
      </c>
      <c r="H7" s="28" t="s">
        <v>7</v>
      </c>
      <c r="I7" s="28" t="s">
        <v>8</v>
      </c>
      <c r="J7" s="29" t="s">
        <v>10</v>
      </c>
      <c r="K7" s="16"/>
      <c r="L7" s="111"/>
    </row>
    <row r="8">
      <c r="A8" s="112" t="s">
        <v>93</v>
      </c>
      <c r="B8" s="113">
        <v>30.0</v>
      </c>
      <c r="C8" s="78">
        <f>SUM(B12:AE12)+SUM(B21:AE21)</f>
        <v>12</v>
      </c>
      <c r="D8" s="93">
        <f>C8/B8</f>
        <v>0.4</v>
      </c>
      <c r="E8" s="91">
        <f>B8-C8</f>
        <v>18</v>
      </c>
      <c r="F8" s="78">
        <f>C8/'ВАЖ ОП'!AJ113*'ВАЖ ОП'!AK113</f>
        <v>53.14285714</v>
      </c>
      <c r="G8" s="93">
        <f t="shared" ref="G8:G10" si="5">F8/B8</f>
        <v>1.771428571</v>
      </c>
      <c r="H8" s="78">
        <f>F8-B8</f>
        <v>23.14285714</v>
      </c>
      <c r="I8" s="114">
        <f>E8/('ВАЖ ОП'!AK113-'ВАЖ ОП'!AJ113)</f>
        <v>0.75</v>
      </c>
      <c r="J8" s="115">
        <f>C8/'ВАЖ ОП'!AJ113</f>
        <v>1.714285714</v>
      </c>
      <c r="K8" s="116"/>
      <c r="L8" s="13"/>
    </row>
    <row r="9">
      <c r="A9" s="112" t="s">
        <v>94</v>
      </c>
      <c r="B9" s="78">
        <f t="shared" ref="B9:C9" si="4">B10/B8</f>
        <v>2666.666667</v>
      </c>
      <c r="C9" s="78">
        <f t="shared" si="4"/>
        <v>558.69</v>
      </c>
      <c r="D9" s="93"/>
      <c r="E9" s="79"/>
      <c r="F9" s="78">
        <f>F10/F8</f>
        <v>558.69</v>
      </c>
      <c r="G9" s="93">
        <f t="shared" si="5"/>
        <v>0.20950875</v>
      </c>
      <c r="H9" s="116"/>
      <c r="I9" s="117"/>
      <c r="J9" s="116"/>
      <c r="K9" s="116"/>
      <c r="L9" s="13"/>
    </row>
    <row r="10">
      <c r="A10" s="112" t="s">
        <v>95</v>
      </c>
      <c r="B10" s="113">
        <v>80000.0</v>
      </c>
      <c r="C10" s="78">
        <f>SUM(B14:AE14)+SUM(B23:AE23)</f>
        <v>6704.28</v>
      </c>
      <c r="D10" s="93">
        <f>C10/B10</f>
        <v>0.0838035</v>
      </c>
      <c r="E10" s="78">
        <f>B10-C10</f>
        <v>73295.72</v>
      </c>
      <c r="F10" s="78">
        <f>C10/'ВАЖ ОП'!AJ113*'ВАЖ ОП'!AK113</f>
        <v>29690.38286</v>
      </c>
      <c r="G10" s="93">
        <f t="shared" si="5"/>
        <v>0.3711297857</v>
      </c>
      <c r="H10" s="78">
        <f>F10-B10</f>
        <v>-50309.61714</v>
      </c>
      <c r="I10" s="78">
        <f>E10/('ВАЖ ОП'!AK113-'ВАЖ ОП'!AJ113)</f>
        <v>3053.988333</v>
      </c>
      <c r="J10" s="91">
        <f>C10/'ВАЖ ОП'!AJ113</f>
        <v>957.7542857</v>
      </c>
      <c r="K10" s="118"/>
      <c r="L10" s="13"/>
    </row>
    <row r="11">
      <c r="A11" s="119" t="s">
        <v>98</v>
      </c>
      <c r="B11" s="120">
        <v>44531.0</v>
      </c>
      <c r="C11" s="120">
        <v>44532.0</v>
      </c>
      <c r="D11" s="120">
        <v>44533.0</v>
      </c>
      <c r="E11" s="120">
        <v>44534.0</v>
      </c>
      <c r="F11" s="120">
        <v>44535.0</v>
      </c>
      <c r="G11" s="120">
        <v>44536.0</v>
      </c>
      <c r="H11" s="120">
        <v>44537.0</v>
      </c>
      <c r="I11" s="120">
        <v>44538.0</v>
      </c>
      <c r="J11" s="120">
        <v>44539.0</v>
      </c>
      <c r="K11" s="120">
        <v>44540.0</v>
      </c>
      <c r="L11" s="120">
        <v>44541.0</v>
      </c>
      <c r="M11" s="120">
        <v>44542.0</v>
      </c>
      <c r="N11" s="120">
        <v>44543.0</v>
      </c>
      <c r="O11" s="120">
        <v>44544.0</v>
      </c>
      <c r="P11" s="120">
        <v>44545.0</v>
      </c>
      <c r="Q11" s="120">
        <v>44546.0</v>
      </c>
      <c r="R11" s="120">
        <v>44547.0</v>
      </c>
      <c r="S11" s="120">
        <v>44548.0</v>
      </c>
      <c r="T11" s="120">
        <v>44549.0</v>
      </c>
      <c r="U11" s="120">
        <v>44550.0</v>
      </c>
      <c r="V11" s="120">
        <v>44551.0</v>
      </c>
      <c r="W11" s="120">
        <v>44552.0</v>
      </c>
      <c r="X11" s="120">
        <v>44553.0</v>
      </c>
      <c r="Y11" s="120">
        <v>44554.0</v>
      </c>
      <c r="Z11" s="120">
        <v>44555.0</v>
      </c>
      <c r="AA11" s="120">
        <v>44556.0</v>
      </c>
      <c r="AB11" s="120">
        <v>44557.0</v>
      </c>
      <c r="AC11" s="120">
        <v>44558.0</v>
      </c>
      <c r="AD11" s="120">
        <v>44559.0</v>
      </c>
      <c r="AE11" s="120">
        <v>44560.0</v>
      </c>
      <c r="AF11" s="120">
        <v>44561.0</v>
      </c>
    </row>
    <row r="12">
      <c r="A12" s="121" t="s">
        <v>93</v>
      </c>
      <c r="B12" s="146"/>
      <c r="C12" s="146">
        <v>5.0</v>
      </c>
      <c r="D12" s="146"/>
      <c r="E12" s="146">
        <v>2.0</v>
      </c>
      <c r="F12" s="146">
        <v>2.0</v>
      </c>
      <c r="G12" s="146">
        <v>3.0</v>
      </c>
      <c r="H12" s="146"/>
      <c r="I12" s="146"/>
      <c r="J12" s="147"/>
      <c r="K12" s="146"/>
      <c r="L12" s="146"/>
      <c r="M12" s="146"/>
      <c r="N12" s="147"/>
      <c r="O12" s="146"/>
      <c r="P12" s="146"/>
      <c r="Q12" s="146"/>
      <c r="R12" s="141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</row>
    <row r="13">
      <c r="A13" s="121" t="s">
        <v>94</v>
      </c>
      <c r="B13" s="123" t="str">
        <f t="shared" ref="B13:AF13" si="6">IFERROR(B14/B12,"-")</f>
        <v>-</v>
      </c>
      <c r="C13" s="123">
        <f t="shared" si="6"/>
        <v>166.044</v>
      </c>
      <c r="D13" s="123" t="str">
        <f t="shared" si="6"/>
        <v>-</v>
      </c>
      <c r="E13" s="123">
        <f t="shared" si="6"/>
        <v>785.935</v>
      </c>
      <c r="F13" s="123">
        <f t="shared" si="6"/>
        <v>404.29</v>
      </c>
      <c r="G13" s="123">
        <f t="shared" si="6"/>
        <v>278.5766667</v>
      </c>
      <c r="H13" s="123" t="str">
        <f t="shared" si="6"/>
        <v>-</v>
      </c>
      <c r="I13" s="123" t="str">
        <f t="shared" si="6"/>
        <v>-</v>
      </c>
      <c r="J13" s="123" t="str">
        <f t="shared" si="6"/>
        <v>-</v>
      </c>
      <c r="K13" s="123" t="str">
        <f t="shared" si="6"/>
        <v>-</v>
      </c>
      <c r="L13" s="123" t="str">
        <f t="shared" si="6"/>
        <v>-</v>
      </c>
      <c r="M13" s="123" t="str">
        <f t="shared" si="6"/>
        <v>-</v>
      </c>
      <c r="N13" s="123" t="str">
        <f t="shared" si="6"/>
        <v>-</v>
      </c>
      <c r="O13" s="123" t="str">
        <f t="shared" si="6"/>
        <v>-</v>
      </c>
      <c r="P13" s="123" t="str">
        <f t="shared" si="6"/>
        <v>-</v>
      </c>
      <c r="Q13" s="123" t="str">
        <f t="shared" si="6"/>
        <v>-</v>
      </c>
      <c r="R13" s="123" t="str">
        <f t="shared" si="6"/>
        <v>-</v>
      </c>
      <c r="S13" s="123" t="str">
        <f t="shared" si="6"/>
        <v>-</v>
      </c>
      <c r="T13" s="123" t="str">
        <f t="shared" si="6"/>
        <v>-</v>
      </c>
      <c r="U13" s="123" t="str">
        <f t="shared" si="6"/>
        <v>-</v>
      </c>
      <c r="V13" s="123" t="str">
        <f t="shared" si="6"/>
        <v>-</v>
      </c>
      <c r="W13" s="123" t="str">
        <f t="shared" si="6"/>
        <v>-</v>
      </c>
      <c r="X13" s="123" t="str">
        <f t="shared" si="6"/>
        <v>-</v>
      </c>
      <c r="Y13" s="123" t="str">
        <f t="shared" si="6"/>
        <v>-</v>
      </c>
      <c r="Z13" s="123" t="str">
        <f t="shared" si="6"/>
        <v>-</v>
      </c>
      <c r="AA13" s="123" t="str">
        <f t="shared" si="6"/>
        <v>-</v>
      </c>
      <c r="AB13" s="123" t="str">
        <f t="shared" si="6"/>
        <v>-</v>
      </c>
      <c r="AC13" s="123" t="str">
        <f t="shared" si="6"/>
        <v>-</v>
      </c>
      <c r="AD13" s="123" t="str">
        <f t="shared" si="6"/>
        <v>-</v>
      </c>
      <c r="AE13" s="123" t="str">
        <f t="shared" si="6"/>
        <v>-</v>
      </c>
      <c r="AF13" s="123" t="str">
        <f t="shared" si="6"/>
        <v>-</v>
      </c>
    </row>
    <row r="14">
      <c r="A14" s="121" t="s">
        <v>99</v>
      </c>
      <c r="B14" s="142">
        <v>1194.0</v>
      </c>
      <c r="C14" s="142">
        <v>830.22</v>
      </c>
      <c r="D14" s="142">
        <v>339.91</v>
      </c>
      <c r="E14" s="142">
        <v>1571.87</v>
      </c>
      <c r="F14" s="142">
        <v>808.58</v>
      </c>
      <c r="G14" s="142">
        <v>835.73</v>
      </c>
      <c r="H14" s="142">
        <v>1123.97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>
      <c r="A15" s="51"/>
      <c r="B15" s="87"/>
      <c r="C15" s="85"/>
      <c r="D15" s="85"/>
      <c r="E15" s="85"/>
      <c r="F15" s="85"/>
      <c r="G15" s="85"/>
      <c r="H15" s="85"/>
      <c r="I15" s="85"/>
      <c r="J15" s="85"/>
      <c r="K15" s="51"/>
      <c r="L15" s="51"/>
    </row>
    <row r="16">
      <c r="A16" s="26" t="s">
        <v>106</v>
      </c>
      <c r="B16" s="27" t="s">
        <v>1</v>
      </c>
      <c r="C16" s="28" t="s">
        <v>2</v>
      </c>
      <c r="D16" s="28" t="str">
        <f>CONCATENATE("Выполнено ",INT('ВАЖ ОП'!AJ113/'ВАЖ ОП'!AK113*100),"%")</f>
        <v>Выполнено 22%</v>
      </c>
      <c r="E16" s="28" t="s">
        <v>4</v>
      </c>
      <c r="F16" s="29" t="s">
        <v>5</v>
      </c>
      <c r="G16" s="29" t="s">
        <v>6</v>
      </c>
      <c r="H16" s="28" t="s">
        <v>7</v>
      </c>
      <c r="I16" s="28" t="s">
        <v>8</v>
      </c>
      <c r="J16" s="29" t="s">
        <v>10</v>
      </c>
      <c r="K16" s="16"/>
      <c r="L16" s="51"/>
    </row>
    <row r="17">
      <c r="A17" s="112" t="s">
        <v>93</v>
      </c>
      <c r="B17" s="113">
        <v>15.0</v>
      </c>
      <c r="C17" s="78">
        <f>SUM(B21:AE21)</f>
        <v>0</v>
      </c>
      <c r="D17" s="135"/>
      <c r="E17" s="91"/>
      <c r="F17" s="78">
        <f>C17/'ВАЖ ОП'!AJ113*'ВАЖ ОП'!AK113</f>
        <v>0</v>
      </c>
      <c r="G17" s="136"/>
      <c r="H17" s="78"/>
      <c r="I17" s="114"/>
      <c r="J17" s="115">
        <f>C17/'ВАЖ ОП'!AJ113</f>
        <v>0</v>
      </c>
      <c r="K17" s="13"/>
      <c r="L17" s="13"/>
    </row>
    <row r="18">
      <c r="A18" s="112" t="s">
        <v>94</v>
      </c>
      <c r="B18" s="78">
        <f>B19/B17</f>
        <v>1333.333333</v>
      </c>
      <c r="C18" s="132" t="str">
        <f>IFERROR(C19/C17,"-")</f>
        <v>-</v>
      </c>
      <c r="D18" s="93"/>
      <c r="E18" s="84"/>
      <c r="F18" s="132" t="str">
        <f>IFERROR(F19/F17,"-")</f>
        <v>-</v>
      </c>
      <c r="H18" s="79"/>
      <c r="I18" s="78"/>
      <c r="J18" s="116"/>
      <c r="K18" s="13"/>
      <c r="L18" s="13"/>
    </row>
    <row r="19">
      <c r="A19" s="112" t="s">
        <v>95</v>
      </c>
      <c r="B19" s="113">
        <v>20000.0</v>
      </c>
      <c r="C19" s="78">
        <f>SUM(B23:AE23)</f>
        <v>0</v>
      </c>
      <c r="D19" s="135"/>
      <c r="E19" s="78"/>
      <c r="F19" s="78">
        <f>C19/'ВАЖ ОП'!AJ113*'ВАЖ ОП'!AK113</f>
        <v>0</v>
      </c>
      <c r="G19" s="136"/>
      <c r="H19" s="78"/>
      <c r="I19" s="78"/>
      <c r="J19" s="91">
        <f>C19/'ВАЖ ОП'!AJ113</f>
        <v>0</v>
      </c>
      <c r="K19" s="87"/>
      <c r="L19" s="13"/>
    </row>
    <row r="20">
      <c r="A20" s="119" t="s">
        <v>108</v>
      </c>
      <c r="B20" s="120">
        <v>44531.0</v>
      </c>
      <c r="C20" s="120">
        <v>44532.0</v>
      </c>
      <c r="D20" s="120">
        <v>44533.0</v>
      </c>
      <c r="E20" s="120">
        <v>44534.0</v>
      </c>
      <c r="F20" s="120">
        <v>44535.0</v>
      </c>
      <c r="G20" s="120">
        <v>44536.0</v>
      </c>
      <c r="H20" s="120">
        <v>44537.0</v>
      </c>
      <c r="I20" s="120">
        <v>44538.0</v>
      </c>
      <c r="J20" s="120">
        <v>44539.0</v>
      </c>
      <c r="K20" s="120">
        <v>44540.0</v>
      </c>
      <c r="L20" s="120">
        <v>44541.0</v>
      </c>
      <c r="M20" s="120">
        <v>44542.0</v>
      </c>
      <c r="N20" s="120">
        <v>44543.0</v>
      </c>
      <c r="O20" s="120">
        <v>44544.0</v>
      </c>
      <c r="P20" s="120">
        <v>44545.0</v>
      </c>
      <c r="Q20" s="120">
        <v>44546.0</v>
      </c>
      <c r="R20" s="120">
        <v>44547.0</v>
      </c>
      <c r="S20" s="120">
        <v>44548.0</v>
      </c>
      <c r="T20" s="120">
        <v>44549.0</v>
      </c>
      <c r="U20" s="120">
        <v>44550.0</v>
      </c>
      <c r="V20" s="120">
        <v>44551.0</v>
      </c>
      <c r="W20" s="120">
        <v>44552.0</v>
      </c>
      <c r="X20" s="120">
        <v>44553.0</v>
      </c>
      <c r="Y20" s="120">
        <v>44554.0</v>
      </c>
      <c r="Z20" s="120">
        <v>44555.0</v>
      </c>
      <c r="AA20" s="120">
        <v>44556.0</v>
      </c>
      <c r="AB20" s="120">
        <v>44557.0</v>
      </c>
      <c r="AC20" s="120">
        <v>44558.0</v>
      </c>
      <c r="AD20" s="120">
        <v>44559.0</v>
      </c>
      <c r="AE20" s="120">
        <v>44560.0</v>
      </c>
      <c r="AF20" s="120">
        <v>44561.0</v>
      </c>
    </row>
    <row r="21">
      <c r="A21" s="121" t="s">
        <v>93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>
      <c r="A22" s="121" t="s">
        <v>94</v>
      </c>
      <c r="B22" s="123" t="str">
        <f t="shared" ref="B22:AF22" si="7">IFERROR(B23/B21,"-")</f>
        <v>-</v>
      </c>
      <c r="C22" s="123" t="str">
        <f t="shared" si="7"/>
        <v>-</v>
      </c>
      <c r="D22" s="123" t="str">
        <f t="shared" si="7"/>
        <v>-</v>
      </c>
      <c r="E22" s="123" t="str">
        <f t="shared" si="7"/>
        <v>-</v>
      </c>
      <c r="F22" s="123" t="str">
        <f t="shared" si="7"/>
        <v>-</v>
      </c>
      <c r="G22" s="123" t="str">
        <f t="shared" si="7"/>
        <v>-</v>
      </c>
      <c r="H22" s="123" t="str">
        <f t="shared" si="7"/>
        <v>-</v>
      </c>
      <c r="I22" s="123" t="str">
        <f t="shared" si="7"/>
        <v>-</v>
      </c>
      <c r="J22" s="123" t="str">
        <f t="shared" si="7"/>
        <v>-</v>
      </c>
      <c r="K22" s="123" t="str">
        <f t="shared" si="7"/>
        <v>-</v>
      </c>
      <c r="L22" s="123" t="str">
        <f t="shared" si="7"/>
        <v>-</v>
      </c>
      <c r="M22" s="123" t="str">
        <f t="shared" si="7"/>
        <v>-</v>
      </c>
      <c r="N22" s="123" t="str">
        <f t="shared" si="7"/>
        <v>-</v>
      </c>
      <c r="O22" s="123" t="str">
        <f t="shared" si="7"/>
        <v>-</v>
      </c>
      <c r="P22" s="123" t="str">
        <f t="shared" si="7"/>
        <v>-</v>
      </c>
      <c r="Q22" s="123" t="str">
        <f t="shared" si="7"/>
        <v>-</v>
      </c>
      <c r="R22" s="123" t="str">
        <f t="shared" si="7"/>
        <v>-</v>
      </c>
      <c r="S22" s="123" t="str">
        <f t="shared" si="7"/>
        <v>-</v>
      </c>
      <c r="T22" s="123" t="str">
        <f t="shared" si="7"/>
        <v>-</v>
      </c>
      <c r="U22" s="123" t="str">
        <f t="shared" si="7"/>
        <v>-</v>
      </c>
      <c r="V22" s="123" t="str">
        <f t="shared" si="7"/>
        <v>-</v>
      </c>
      <c r="W22" s="123" t="str">
        <f t="shared" si="7"/>
        <v>-</v>
      </c>
      <c r="X22" s="123" t="str">
        <f t="shared" si="7"/>
        <v>-</v>
      </c>
      <c r="Y22" s="123" t="str">
        <f t="shared" si="7"/>
        <v>-</v>
      </c>
      <c r="Z22" s="123" t="str">
        <f t="shared" si="7"/>
        <v>-</v>
      </c>
      <c r="AA22" s="123" t="str">
        <f t="shared" si="7"/>
        <v>-</v>
      </c>
      <c r="AB22" s="123" t="str">
        <f t="shared" si="7"/>
        <v>-</v>
      </c>
      <c r="AC22" s="123" t="str">
        <f t="shared" si="7"/>
        <v>-</v>
      </c>
      <c r="AD22" s="123" t="str">
        <f t="shared" si="7"/>
        <v>-</v>
      </c>
      <c r="AE22" s="123" t="str">
        <f t="shared" si="7"/>
        <v>-</v>
      </c>
      <c r="AF22" s="123" t="str">
        <f t="shared" si="7"/>
        <v>-</v>
      </c>
    </row>
    <row r="23">
      <c r="A23" s="121" t="s">
        <v>99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3"/>
      <c r="AB23" s="123"/>
      <c r="AC23" s="123"/>
      <c r="AD23" s="123"/>
      <c r="AE23" s="123"/>
      <c r="AF23" s="123"/>
    </row>
    <row r="24">
      <c r="A24" s="35"/>
      <c r="B24" s="53"/>
      <c r="C24" s="53"/>
      <c r="D24" s="53"/>
      <c r="E24" s="53"/>
      <c r="F24" s="55"/>
      <c r="G24" s="55"/>
      <c r="H24" s="54"/>
      <c r="I24" s="54"/>
      <c r="J24" s="54"/>
      <c r="K24" s="54"/>
      <c r="L24" s="54"/>
    </row>
    <row r="25">
      <c r="A25" s="26" t="s">
        <v>100</v>
      </c>
      <c r="B25" s="27" t="s">
        <v>1</v>
      </c>
      <c r="C25" s="28" t="s">
        <v>2</v>
      </c>
      <c r="D25" s="28" t="str">
        <f>CONCATENATE("Выполнено ",INT('ВАЖ ОП'!AJ113/'ВАЖ ОП'!AK113*100),"%")</f>
        <v>Выполнено 22%</v>
      </c>
      <c r="E25" s="28" t="s">
        <v>4</v>
      </c>
      <c r="F25" s="29" t="s">
        <v>5</v>
      </c>
      <c r="G25" s="29" t="s">
        <v>6</v>
      </c>
      <c r="H25" s="28" t="s">
        <v>7</v>
      </c>
      <c r="I25" s="28" t="s">
        <v>8</v>
      </c>
      <c r="J25" s="29" t="s">
        <v>10</v>
      </c>
      <c r="K25" s="16"/>
      <c r="L25" s="51"/>
    </row>
    <row r="26">
      <c r="A26" s="112" t="s">
        <v>93</v>
      </c>
      <c r="B26" s="113">
        <v>20.0</v>
      </c>
      <c r="C26" s="78">
        <f>SUM(B30:AE30)</f>
        <v>8</v>
      </c>
      <c r="D26" s="93">
        <f>C26/B26</f>
        <v>0.4</v>
      </c>
      <c r="E26" s="91">
        <f>B26-C26</f>
        <v>12</v>
      </c>
      <c r="F26" s="78">
        <f>C26/'ВАЖ ОП'!AJ113*'ВАЖ ОП'!AK113</f>
        <v>35.42857143</v>
      </c>
      <c r="G26" s="129">
        <f t="shared" ref="G26:G28" si="9">F26/B26</f>
        <v>1.771428571</v>
      </c>
      <c r="H26" s="78">
        <f>F26-B26</f>
        <v>15.42857143</v>
      </c>
      <c r="I26" s="114">
        <f>E26/('ВАЖ ОП'!AK113-'ВАЖ ОП'!AJ113)</f>
        <v>0.5</v>
      </c>
      <c r="J26" s="115">
        <f>C26/'ВАЖ ОП'!AJ113</f>
        <v>1.142857143</v>
      </c>
      <c r="K26" s="79"/>
      <c r="L26" s="79"/>
    </row>
    <row r="27">
      <c r="A27" s="112" t="s">
        <v>94</v>
      </c>
      <c r="B27" s="78">
        <f t="shared" ref="B27:C27" si="8">B28/B26</f>
        <v>1500</v>
      </c>
      <c r="C27" s="78">
        <f t="shared" si="8"/>
        <v>0</v>
      </c>
      <c r="D27" s="93"/>
      <c r="E27" s="79"/>
      <c r="F27" s="78">
        <f>F28/F26</f>
        <v>0</v>
      </c>
      <c r="G27" s="93">
        <f t="shared" si="9"/>
        <v>0</v>
      </c>
      <c r="H27" s="79"/>
      <c r="I27" s="78"/>
      <c r="J27" s="116"/>
      <c r="K27" s="79"/>
      <c r="L27" s="79"/>
    </row>
    <row r="28">
      <c r="A28" s="112" t="s">
        <v>95</v>
      </c>
      <c r="B28" s="113">
        <v>30000.0</v>
      </c>
      <c r="C28" s="78">
        <f>SUM(B32:AE32)</f>
        <v>0</v>
      </c>
      <c r="D28" s="93">
        <f>C28/B28</f>
        <v>0</v>
      </c>
      <c r="E28" s="78">
        <f>B28-C28</f>
        <v>30000</v>
      </c>
      <c r="F28" s="78">
        <f>C28/'ВАЖ ОП'!AJ113*'ВАЖ ОП'!AK113</f>
        <v>0</v>
      </c>
      <c r="G28" s="129">
        <f t="shared" si="9"/>
        <v>0</v>
      </c>
      <c r="H28" s="78">
        <f>F28-B28</f>
        <v>-30000</v>
      </c>
      <c r="I28" s="78">
        <f>E28/('ВАЖ ОП'!AK113-'ВАЖ ОП'!AJ113)</f>
        <v>1250</v>
      </c>
      <c r="J28" s="91">
        <f>C28/'ВАЖ ОП'!AJ113</f>
        <v>0</v>
      </c>
      <c r="K28" s="79"/>
      <c r="L28" s="79"/>
    </row>
    <row r="29">
      <c r="A29" s="119" t="s">
        <v>101</v>
      </c>
      <c r="B29" s="120">
        <v>44531.0</v>
      </c>
      <c r="C29" s="120">
        <v>44532.0</v>
      </c>
      <c r="D29" s="120">
        <v>44533.0</v>
      </c>
      <c r="E29" s="120">
        <v>44534.0</v>
      </c>
      <c r="F29" s="120">
        <v>44535.0</v>
      </c>
      <c r="G29" s="120">
        <v>44536.0</v>
      </c>
      <c r="H29" s="120">
        <v>44537.0</v>
      </c>
      <c r="I29" s="120">
        <v>44538.0</v>
      </c>
      <c r="J29" s="120">
        <v>44539.0</v>
      </c>
      <c r="K29" s="120">
        <v>44540.0</v>
      </c>
      <c r="L29" s="120">
        <v>44541.0</v>
      </c>
      <c r="M29" s="120">
        <v>44542.0</v>
      </c>
      <c r="N29" s="120">
        <v>44543.0</v>
      </c>
      <c r="O29" s="120">
        <v>44544.0</v>
      </c>
      <c r="P29" s="120">
        <v>44545.0</v>
      </c>
      <c r="Q29" s="120">
        <v>44546.0</v>
      </c>
      <c r="R29" s="120">
        <v>44547.0</v>
      </c>
      <c r="S29" s="120">
        <v>44548.0</v>
      </c>
      <c r="T29" s="120">
        <v>44549.0</v>
      </c>
      <c r="U29" s="120">
        <v>44550.0</v>
      </c>
      <c r="V29" s="120">
        <v>44551.0</v>
      </c>
      <c r="W29" s="120">
        <v>44552.0</v>
      </c>
      <c r="X29" s="120">
        <v>44553.0</v>
      </c>
      <c r="Y29" s="120">
        <v>44554.0</v>
      </c>
      <c r="Z29" s="120">
        <v>44555.0</v>
      </c>
      <c r="AA29" s="120">
        <v>44556.0</v>
      </c>
      <c r="AB29" s="120">
        <v>44557.0</v>
      </c>
      <c r="AC29" s="120">
        <v>44558.0</v>
      </c>
      <c r="AD29" s="120">
        <v>44559.0</v>
      </c>
      <c r="AE29" s="120">
        <v>44560.0</v>
      </c>
      <c r="AF29" s="120">
        <v>44561.0</v>
      </c>
    </row>
    <row r="30">
      <c r="A30" s="121" t="s">
        <v>93</v>
      </c>
      <c r="B30" s="148"/>
      <c r="C30" s="148">
        <v>2.0</v>
      </c>
      <c r="D30" s="141">
        <v>1.0</v>
      </c>
      <c r="E30" s="141">
        <v>1.0</v>
      </c>
      <c r="F30" s="141">
        <v>1.0</v>
      </c>
      <c r="G30" s="148">
        <v>3.0</v>
      </c>
      <c r="H30" s="141"/>
      <c r="I30" s="149"/>
      <c r="J30" s="141"/>
      <c r="K30" s="148"/>
      <c r="L30" s="141"/>
      <c r="M30" s="141"/>
      <c r="N30" s="141"/>
      <c r="O30" s="149"/>
      <c r="P30" s="148"/>
      <c r="Q30" s="141"/>
      <c r="R30" s="122"/>
      <c r="S30" s="122"/>
      <c r="T30" s="122"/>
      <c r="U30" s="123"/>
      <c r="V30" s="122"/>
      <c r="W30" s="122"/>
      <c r="X30" s="122"/>
      <c r="Y30" s="122"/>
      <c r="Z30" s="122"/>
      <c r="AA30" s="122"/>
      <c r="AB30" s="123"/>
      <c r="AC30" s="122"/>
      <c r="AD30" s="122"/>
      <c r="AE30" s="122"/>
      <c r="AF30" s="123"/>
    </row>
    <row r="31">
      <c r="A31" s="121" t="s">
        <v>94</v>
      </c>
      <c r="B31" s="123" t="str">
        <f t="shared" ref="B31:AF31" si="10">IFERROR(B32/B30,"-")</f>
        <v>-</v>
      </c>
      <c r="C31" s="123">
        <f t="shared" si="10"/>
        <v>0</v>
      </c>
      <c r="D31" s="123">
        <f t="shared" si="10"/>
        <v>0</v>
      </c>
      <c r="E31" s="123">
        <f t="shared" si="10"/>
        <v>0</v>
      </c>
      <c r="F31" s="123">
        <f t="shared" si="10"/>
        <v>0</v>
      </c>
      <c r="G31" s="123">
        <f t="shared" si="10"/>
        <v>0</v>
      </c>
      <c r="H31" s="123" t="str">
        <f t="shared" si="10"/>
        <v>-</v>
      </c>
      <c r="I31" s="123" t="str">
        <f t="shared" si="10"/>
        <v>-</v>
      </c>
      <c r="J31" s="123" t="str">
        <f t="shared" si="10"/>
        <v>-</v>
      </c>
      <c r="K31" s="123" t="str">
        <f t="shared" si="10"/>
        <v>-</v>
      </c>
      <c r="L31" s="123" t="str">
        <f t="shared" si="10"/>
        <v>-</v>
      </c>
      <c r="M31" s="123" t="str">
        <f t="shared" si="10"/>
        <v>-</v>
      </c>
      <c r="N31" s="123" t="str">
        <f t="shared" si="10"/>
        <v>-</v>
      </c>
      <c r="O31" s="123" t="str">
        <f t="shared" si="10"/>
        <v>-</v>
      </c>
      <c r="P31" s="123" t="str">
        <f t="shared" si="10"/>
        <v>-</v>
      </c>
      <c r="Q31" s="123" t="str">
        <f t="shared" si="10"/>
        <v>-</v>
      </c>
      <c r="R31" s="123" t="str">
        <f t="shared" si="10"/>
        <v>-</v>
      </c>
      <c r="S31" s="123" t="str">
        <f t="shared" si="10"/>
        <v>-</v>
      </c>
      <c r="T31" s="123" t="str">
        <f t="shared" si="10"/>
        <v>-</v>
      </c>
      <c r="U31" s="123" t="str">
        <f t="shared" si="10"/>
        <v>-</v>
      </c>
      <c r="V31" s="123" t="str">
        <f t="shared" si="10"/>
        <v>-</v>
      </c>
      <c r="W31" s="123" t="str">
        <f t="shared" si="10"/>
        <v>-</v>
      </c>
      <c r="X31" s="123" t="str">
        <f t="shared" si="10"/>
        <v>-</v>
      </c>
      <c r="Y31" s="123" t="str">
        <f t="shared" si="10"/>
        <v>-</v>
      </c>
      <c r="Z31" s="123" t="str">
        <f t="shared" si="10"/>
        <v>-</v>
      </c>
      <c r="AA31" s="123" t="str">
        <f t="shared" si="10"/>
        <v>-</v>
      </c>
      <c r="AB31" s="123" t="str">
        <f t="shared" si="10"/>
        <v>-</v>
      </c>
      <c r="AC31" s="123" t="str">
        <f t="shared" si="10"/>
        <v>-</v>
      </c>
      <c r="AD31" s="123" t="str">
        <f t="shared" si="10"/>
        <v>-</v>
      </c>
      <c r="AE31" s="123" t="str">
        <f t="shared" si="10"/>
        <v>-</v>
      </c>
      <c r="AF31" s="123" t="str">
        <f t="shared" si="10"/>
        <v>-</v>
      </c>
    </row>
    <row r="32">
      <c r="A32" s="121" t="s">
        <v>99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2"/>
      <c r="L32" s="142"/>
      <c r="M32" s="145"/>
      <c r="N32" s="144"/>
      <c r="O32" s="144"/>
      <c r="P32" s="144"/>
      <c r="Q32" s="144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</row>
    <row r="34">
      <c r="A34" s="26"/>
      <c r="B34" s="27"/>
      <c r="C34" s="28"/>
      <c r="D34" s="28"/>
      <c r="E34" s="28"/>
      <c r="F34" s="29"/>
      <c r="G34" s="29"/>
      <c r="H34" s="28"/>
      <c r="I34" s="28"/>
      <c r="J34" s="29"/>
      <c r="K34" s="16"/>
      <c r="L34" s="51"/>
    </row>
    <row r="35">
      <c r="A35" s="112"/>
      <c r="B35" s="113"/>
      <c r="C35" s="78"/>
      <c r="D35" s="135"/>
      <c r="E35" s="91"/>
      <c r="F35" s="78"/>
      <c r="H35" s="78"/>
      <c r="I35" s="114"/>
      <c r="J35" s="115"/>
      <c r="K35" s="79"/>
      <c r="L35" s="79"/>
    </row>
    <row r="36">
      <c r="A36" s="100" t="s">
        <v>123</v>
      </c>
      <c r="B36" s="101" t="s">
        <v>1</v>
      </c>
      <c r="C36" s="102" t="s">
        <v>2</v>
      </c>
      <c r="D36" s="102" t="str">
        <f>CONCATENATE("Выполнено ",INT('ВАЖ ОП'!AJ148/'ВАЖ ОП'!AK148*100),"%")</f>
        <v>#DIV/0!</v>
      </c>
      <c r="E36" s="102" t="s">
        <v>4</v>
      </c>
      <c r="F36" s="103" t="s">
        <v>5</v>
      </c>
      <c r="G36" s="103" t="s">
        <v>6</v>
      </c>
      <c r="H36" s="104" t="s">
        <v>7</v>
      </c>
      <c r="I36" s="104" t="s">
        <v>8</v>
      </c>
      <c r="J36" s="103" t="s">
        <v>10</v>
      </c>
      <c r="K36" s="16"/>
    </row>
    <row r="37">
      <c r="A37" s="105" t="s">
        <v>93</v>
      </c>
      <c r="B37" s="9">
        <f>B43+B52+B61</f>
        <v>65</v>
      </c>
      <c r="C37" s="9">
        <f>C43+C61</f>
        <v>76</v>
      </c>
      <c r="D37" s="10">
        <f>C37/B37</f>
        <v>1.169230769</v>
      </c>
      <c r="E37" s="9">
        <f>B37-C37</f>
        <v>-11</v>
      </c>
      <c r="F37" s="9" t="str">
        <f>C37/'ВАЖ ОП'!AJ148*'ВАЖ ОП'!AK148</f>
        <v>#DIV/0!</v>
      </c>
      <c r="G37" s="10" t="str">
        <f t="shared" ref="G37:G39" si="12">F37/B37</f>
        <v>#DIV/0!</v>
      </c>
      <c r="H37" s="9" t="str">
        <f>F37-B37</f>
        <v>#DIV/0!</v>
      </c>
      <c r="I37" s="106" t="str">
        <f>E37/('ВАЖ ОП'!AK148-'ВАЖ ОП'!AJ148)</f>
        <v>#DIV/0!</v>
      </c>
      <c r="J37" s="46" t="str">
        <f>C37/'ВАЖ ОП'!AJ148</f>
        <v>#DIV/0!</v>
      </c>
      <c r="K37" s="107"/>
    </row>
    <row r="38">
      <c r="A38" s="105" t="s">
        <v>94</v>
      </c>
      <c r="B38" s="8">
        <f t="shared" ref="B38:C38" si="11">B39/B37</f>
        <v>2000</v>
      </c>
      <c r="C38" s="9">
        <f t="shared" si="11"/>
        <v>428.8278947</v>
      </c>
      <c r="D38" s="10"/>
      <c r="E38" s="109"/>
      <c r="F38" s="9" t="str">
        <f>F39/F37</f>
        <v>#DIV/0!</v>
      </c>
      <c r="G38" s="10" t="str">
        <f t="shared" si="12"/>
        <v>#DIV/0!</v>
      </c>
      <c r="H38" s="109"/>
      <c r="I38" s="109"/>
      <c r="J38" s="107"/>
      <c r="K38" s="107"/>
    </row>
    <row r="39">
      <c r="A39" s="105" t="s">
        <v>95</v>
      </c>
      <c r="B39" s="9">
        <f t="shared" ref="B39:C39" si="13">B45+B54+B63</f>
        <v>130000</v>
      </c>
      <c r="C39" s="9">
        <f t="shared" si="13"/>
        <v>32590.92</v>
      </c>
      <c r="D39" s="10">
        <f>C39/B39</f>
        <v>0.2506993846</v>
      </c>
      <c r="E39" s="9">
        <f>B39-C39</f>
        <v>97409.08</v>
      </c>
      <c r="F39" s="9" t="str">
        <f>C39/'ВАЖ ОП'!AJ148*'ВАЖ ОП'!AK148</f>
        <v>#DIV/0!</v>
      </c>
      <c r="G39" s="10" t="str">
        <f t="shared" si="12"/>
        <v>#DIV/0!</v>
      </c>
      <c r="H39" s="9" t="str">
        <f>F39-B39</f>
        <v>#DIV/0!</v>
      </c>
      <c r="I39" s="19" t="str">
        <f>E39/('ВАЖ ОП'!AK148-'ВАЖ ОП'!AJ148)</f>
        <v>#DIV/0!</v>
      </c>
      <c r="J39" s="19" t="str">
        <f>C39/'ВАЖ ОП'!AJ148</f>
        <v>#DIV/0!</v>
      </c>
      <c r="K39" s="107"/>
    </row>
    <row r="40">
      <c r="A40" s="50" t="s">
        <v>116</v>
      </c>
      <c r="B40" s="50">
        <v>31.0</v>
      </c>
      <c r="C40" s="138">
        <f>DAY(TODAY()-1)</f>
        <v>7</v>
      </c>
    </row>
    <row r="41">
      <c r="A41" s="110" t="s">
        <v>96</v>
      </c>
      <c r="B41" s="22"/>
      <c r="C41" s="23"/>
      <c r="D41" s="23"/>
      <c r="E41" s="23"/>
      <c r="F41" s="23"/>
      <c r="G41" s="23"/>
      <c r="H41" s="23"/>
      <c r="I41" s="23"/>
      <c r="J41" s="23"/>
      <c r="K41" s="24"/>
      <c r="L41" s="24"/>
    </row>
    <row r="42">
      <c r="A42" s="26" t="s">
        <v>97</v>
      </c>
      <c r="B42" s="27" t="s">
        <v>1</v>
      </c>
      <c r="C42" s="28" t="s">
        <v>2</v>
      </c>
      <c r="D42" s="28" t="str">
        <f>CONCATENATE("Выполнено ",INT('ВАЖ ОП'!AJ148/'ВАЖ ОП'!AK148*100),"%")</f>
        <v>#DIV/0!</v>
      </c>
      <c r="E42" s="28" t="s">
        <v>4</v>
      </c>
      <c r="F42" s="29" t="s">
        <v>5</v>
      </c>
      <c r="G42" s="29" t="s">
        <v>6</v>
      </c>
      <c r="H42" s="28" t="s">
        <v>7</v>
      </c>
      <c r="I42" s="28" t="s">
        <v>8</v>
      </c>
      <c r="J42" s="29" t="s">
        <v>10</v>
      </c>
      <c r="K42" s="16"/>
      <c r="L42" s="111"/>
    </row>
    <row r="43">
      <c r="A43" s="112" t="s">
        <v>93</v>
      </c>
      <c r="B43" s="113">
        <v>30.0</v>
      </c>
      <c r="C43" s="78">
        <f>SUM(B47:AE47)+SUM(B56:AE56)</f>
        <v>55</v>
      </c>
      <c r="D43" s="93">
        <f>C43/B43</f>
        <v>1.833333333</v>
      </c>
      <c r="E43" s="91">
        <f>B43-C43</f>
        <v>-25</v>
      </c>
      <c r="F43" s="78" t="str">
        <f>C43/'ВАЖ ОП'!AJ148*'ВАЖ ОП'!AK148</f>
        <v>#DIV/0!</v>
      </c>
      <c r="G43" s="93" t="str">
        <f t="shared" ref="G43:G45" si="15">F43/B43</f>
        <v>#DIV/0!</v>
      </c>
      <c r="H43" s="78" t="str">
        <f>F43-B43</f>
        <v>#DIV/0!</v>
      </c>
      <c r="I43" s="114" t="str">
        <f>E43/('ВАЖ ОП'!AK148-'ВАЖ ОП'!AJ148)</f>
        <v>#DIV/0!</v>
      </c>
      <c r="J43" s="115" t="str">
        <f>C43/'ВАЖ ОП'!AJ148</f>
        <v>#DIV/0!</v>
      </c>
      <c r="K43" s="116"/>
      <c r="L43" s="13"/>
    </row>
    <row r="44">
      <c r="A44" s="112" t="s">
        <v>94</v>
      </c>
      <c r="B44" s="78">
        <f t="shared" ref="B44:C44" si="14">B45/B43</f>
        <v>2666.666667</v>
      </c>
      <c r="C44" s="78">
        <f t="shared" si="14"/>
        <v>592.5621818</v>
      </c>
      <c r="D44" s="93"/>
      <c r="E44" s="79"/>
      <c r="F44" s="78" t="str">
        <f>F45/F43</f>
        <v>#DIV/0!</v>
      </c>
      <c r="G44" s="93" t="str">
        <f t="shared" si="15"/>
        <v>#DIV/0!</v>
      </c>
      <c r="H44" s="116"/>
      <c r="I44" s="117"/>
      <c r="J44" s="116"/>
      <c r="K44" s="116"/>
      <c r="L44" s="13"/>
    </row>
    <row r="45">
      <c r="A45" s="112" t="s">
        <v>95</v>
      </c>
      <c r="B45" s="113">
        <v>80000.0</v>
      </c>
      <c r="C45" s="78">
        <f>SUM(B49:AE49)+SUM(B58:AE58)</f>
        <v>32590.92</v>
      </c>
      <c r="D45" s="93">
        <f>C45/B45</f>
        <v>0.4073865</v>
      </c>
      <c r="E45" s="78">
        <f>B45-C45</f>
        <v>47409.08</v>
      </c>
      <c r="F45" s="78" t="str">
        <f>C45/'ВАЖ ОП'!AJ148*'ВАЖ ОП'!AK148</f>
        <v>#DIV/0!</v>
      </c>
      <c r="G45" s="93" t="str">
        <f t="shared" si="15"/>
        <v>#DIV/0!</v>
      </c>
      <c r="H45" s="78" t="str">
        <f>F45-B45</f>
        <v>#DIV/0!</v>
      </c>
      <c r="I45" s="78" t="str">
        <f>E45/('ВАЖ ОП'!AK148-'ВАЖ ОП'!AJ148)</f>
        <v>#DIV/0!</v>
      </c>
      <c r="J45" s="91" t="str">
        <f>C45/'ВАЖ ОП'!AJ148</f>
        <v>#DIV/0!</v>
      </c>
      <c r="K45" s="118"/>
      <c r="L45" s="13"/>
    </row>
    <row r="46">
      <c r="A46" s="119" t="s">
        <v>98</v>
      </c>
      <c r="B46" s="120">
        <v>44501.0</v>
      </c>
      <c r="C46" s="120">
        <v>44502.0</v>
      </c>
      <c r="D46" s="120">
        <v>44503.0</v>
      </c>
      <c r="E46" s="120">
        <v>44504.0</v>
      </c>
      <c r="F46" s="120">
        <v>44505.0</v>
      </c>
      <c r="G46" s="120">
        <v>44506.0</v>
      </c>
      <c r="H46" s="120">
        <v>44507.0</v>
      </c>
      <c r="I46" s="120">
        <v>44508.0</v>
      </c>
      <c r="J46" s="120">
        <v>44509.0</v>
      </c>
      <c r="K46" s="120">
        <v>44510.0</v>
      </c>
      <c r="L46" s="120">
        <v>44511.0</v>
      </c>
      <c r="M46" s="120">
        <v>44512.0</v>
      </c>
      <c r="N46" s="120">
        <v>44513.0</v>
      </c>
      <c r="O46" s="120">
        <v>44514.0</v>
      </c>
      <c r="P46" s="120">
        <v>44515.0</v>
      </c>
      <c r="Q46" s="120">
        <v>44516.0</v>
      </c>
      <c r="R46" s="120">
        <v>44517.0</v>
      </c>
      <c r="S46" s="120">
        <v>44518.0</v>
      </c>
      <c r="T46" s="120">
        <v>44519.0</v>
      </c>
      <c r="U46" s="120">
        <v>44520.0</v>
      </c>
      <c r="V46" s="120">
        <v>44521.0</v>
      </c>
      <c r="W46" s="120">
        <v>44522.0</v>
      </c>
      <c r="X46" s="120">
        <v>44523.0</v>
      </c>
      <c r="Y46" s="120">
        <v>44524.0</v>
      </c>
      <c r="Z46" s="120">
        <v>44525.0</v>
      </c>
      <c r="AA46" s="120">
        <v>44526.0</v>
      </c>
      <c r="AB46" s="120">
        <v>44527.0</v>
      </c>
      <c r="AC46" s="120">
        <v>44528.0</v>
      </c>
      <c r="AD46" s="120">
        <v>44529.0</v>
      </c>
      <c r="AE46" s="120">
        <v>44530.0</v>
      </c>
      <c r="AF46" s="120">
        <v>44500.0</v>
      </c>
    </row>
    <row r="47">
      <c r="A47" s="121" t="s">
        <v>93</v>
      </c>
      <c r="B47" s="146">
        <v>2.0</v>
      </c>
      <c r="C47" s="146">
        <v>3.0</v>
      </c>
      <c r="D47" s="146">
        <v>1.0</v>
      </c>
      <c r="E47" s="146"/>
      <c r="F47" s="146">
        <v>3.0</v>
      </c>
      <c r="G47" s="146">
        <v>1.0</v>
      </c>
      <c r="H47" s="146">
        <v>1.0</v>
      </c>
      <c r="I47" s="146"/>
      <c r="J47" s="147"/>
      <c r="K47" s="146">
        <v>7.0</v>
      </c>
      <c r="L47" s="146">
        <v>4.0</v>
      </c>
      <c r="M47" s="146">
        <v>3.0</v>
      </c>
      <c r="N47" s="147"/>
      <c r="O47" s="146"/>
      <c r="P47" s="146">
        <v>1.0</v>
      </c>
      <c r="Q47" s="146">
        <v>1.0</v>
      </c>
      <c r="R47" s="141">
        <v>2.0</v>
      </c>
      <c r="S47" s="122">
        <v>6.0</v>
      </c>
      <c r="T47" s="122">
        <v>3.0</v>
      </c>
      <c r="U47" s="122">
        <v>2.0</v>
      </c>
      <c r="V47" s="122">
        <v>1.0</v>
      </c>
      <c r="W47" s="122"/>
      <c r="X47" s="122">
        <v>5.0</v>
      </c>
      <c r="Y47" s="122"/>
      <c r="Z47" s="122"/>
      <c r="AA47" s="122">
        <v>3.0</v>
      </c>
      <c r="AB47" s="122"/>
      <c r="AC47" s="122"/>
      <c r="AD47" s="122">
        <v>4.0</v>
      </c>
      <c r="AE47" s="122">
        <v>1.0</v>
      </c>
      <c r="AF47" s="123"/>
    </row>
    <row r="48">
      <c r="A48" s="121" t="s">
        <v>94</v>
      </c>
      <c r="B48" s="123">
        <f t="shared" ref="B48:AF48" si="16">IFERROR(B49/B47,"-")</f>
        <v>300.965</v>
      </c>
      <c r="C48" s="123">
        <f t="shared" si="16"/>
        <v>571.2266667</v>
      </c>
      <c r="D48" s="123">
        <f t="shared" si="16"/>
        <v>1001.02</v>
      </c>
      <c r="E48" s="123" t="str">
        <f t="shared" si="16"/>
        <v>-</v>
      </c>
      <c r="F48" s="123">
        <f t="shared" si="16"/>
        <v>221.6433333</v>
      </c>
      <c r="G48" s="123">
        <f t="shared" si="16"/>
        <v>1144.75</v>
      </c>
      <c r="H48" s="123">
        <f t="shared" si="16"/>
        <v>0</v>
      </c>
      <c r="I48" s="123" t="str">
        <f t="shared" si="16"/>
        <v>-</v>
      </c>
      <c r="J48" s="123" t="str">
        <f t="shared" si="16"/>
        <v>-</v>
      </c>
      <c r="K48" s="123">
        <f t="shared" si="16"/>
        <v>315.74</v>
      </c>
      <c r="L48" s="123">
        <f t="shared" si="16"/>
        <v>489.0475</v>
      </c>
      <c r="M48" s="123">
        <f t="shared" si="16"/>
        <v>514.6666667</v>
      </c>
      <c r="N48" s="123" t="str">
        <f t="shared" si="16"/>
        <v>-</v>
      </c>
      <c r="O48" s="123" t="str">
        <f t="shared" si="16"/>
        <v>-</v>
      </c>
      <c r="P48" s="123">
        <f t="shared" si="16"/>
        <v>1511.96</v>
      </c>
      <c r="Q48" s="123">
        <f t="shared" si="16"/>
        <v>0</v>
      </c>
      <c r="R48" s="123">
        <f t="shared" si="16"/>
        <v>695.58</v>
      </c>
      <c r="S48" s="123">
        <f t="shared" si="16"/>
        <v>211.2183333</v>
      </c>
      <c r="T48" s="123">
        <f t="shared" si="16"/>
        <v>572.7066667</v>
      </c>
      <c r="U48" s="123">
        <f t="shared" si="16"/>
        <v>619.18</v>
      </c>
      <c r="V48" s="123">
        <f t="shared" si="16"/>
        <v>592.24</v>
      </c>
      <c r="W48" s="123" t="str">
        <f t="shared" si="16"/>
        <v>-</v>
      </c>
      <c r="X48" s="123">
        <f t="shared" si="16"/>
        <v>504.6</v>
      </c>
      <c r="Y48" s="123" t="str">
        <f t="shared" si="16"/>
        <v>-</v>
      </c>
      <c r="Z48" s="123" t="str">
        <f t="shared" si="16"/>
        <v>-</v>
      </c>
      <c r="AA48" s="123">
        <f t="shared" si="16"/>
        <v>287.86</v>
      </c>
      <c r="AB48" s="123" t="str">
        <f t="shared" si="16"/>
        <v>-</v>
      </c>
      <c r="AC48" s="123" t="str">
        <f t="shared" si="16"/>
        <v>-</v>
      </c>
      <c r="AD48" s="123">
        <f t="shared" si="16"/>
        <v>419.1775</v>
      </c>
      <c r="AE48" s="123">
        <f t="shared" si="16"/>
        <v>894.95</v>
      </c>
      <c r="AF48" s="123" t="str">
        <f t="shared" si="16"/>
        <v>-</v>
      </c>
    </row>
    <row r="49">
      <c r="A49" s="121" t="s">
        <v>99</v>
      </c>
      <c r="B49" s="142">
        <v>601.93</v>
      </c>
      <c r="C49" s="142">
        <v>1713.68</v>
      </c>
      <c r="D49" s="142">
        <v>1001.02</v>
      </c>
      <c r="E49" s="142">
        <v>645.26</v>
      </c>
      <c r="F49" s="142">
        <v>664.93</v>
      </c>
      <c r="G49" s="142">
        <v>1144.75</v>
      </c>
      <c r="H49" s="142"/>
      <c r="I49" s="142">
        <v>79.63</v>
      </c>
      <c r="J49" s="142">
        <v>362.04</v>
      </c>
      <c r="K49" s="142">
        <v>2210.18</v>
      </c>
      <c r="L49" s="142">
        <v>1956.19</v>
      </c>
      <c r="M49" s="142">
        <v>1544.0</v>
      </c>
      <c r="N49" s="142">
        <v>1118.98</v>
      </c>
      <c r="O49" s="142">
        <v>1336.27</v>
      </c>
      <c r="P49" s="142">
        <v>1511.96</v>
      </c>
      <c r="Q49" s="142"/>
      <c r="R49" s="122">
        <v>1391.16</v>
      </c>
      <c r="S49" s="122">
        <v>1267.31</v>
      </c>
      <c r="T49" s="122">
        <v>1718.12</v>
      </c>
      <c r="U49" s="122">
        <v>1238.36</v>
      </c>
      <c r="V49" s="122">
        <v>592.24</v>
      </c>
      <c r="W49" s="122">
        <v>1192.92</v>
      </c>
      <c r="X49" s="122">
        <v>2523.0</v>
      </c>
      <c r="Y49" s="122">
        <v>1512.47</v>
      </c>
      <c r="Z49" s="122">
        <v>732.19</v>
      </c>
      <c r="AA49" s="122">
        <v>863.58</v>
      </c>
      <c r="AB49" s="122">
        <v>1024.6</v>
      </c>
      <c r="AC49" s="122">
        <v>72.49</v>
      </c>
      <c r="AD49" s="122">
        <v>1676.71</v>
      </c>
      <c r="AE49" s="122">
        <v>894.95</v>
      </c>
      <c r="AF49" s="122"/>
    </row>
    <row r="50">
      <c r="A50" s="51"/>
      <c r="B50" s="87"/>
      <c r="C50" s="85"/>
      <c r="D50" s="85"/>
      <c r="E50" s="85"/>
      <c r="F50" s="85"/>
      <c r="G50" s="85"/>
      <c r="H50" s="85"/>
      <c r="I50" s="85"/>
      <c r="J50" s="85"/>
      <c r="K50" s="51"/>
      <c r="L50" s="51"/>
    </row>
    <row r="51">
      <c r="A51" s="26" t="s">
        <v>106</v>
      </c>
      <c r="B51" s="27" t="s">
        <v>1</v>
      </c>
      <c r="C51" s="28" t="s">
        <v>2</v>
      </c>
      <c r="D51" s="28" t="str">
        <f>CONCATENATE("Выполнено ",INT('ВАЖ ОП'!AJ148/'ВАЖ ОП'!AK148*100),"%")</f>
        <v>#DIV/0!</v>
      </c>
      <c r="E51" s="28" t="s">
        <v>4</v>
      </c>
      <c r="F51" s="29" t="s">
        <v>5</v>
      </c>
      <c r="G51" s="29" t="s">
        <v>6</v>
      </c>
      <c r="H51" s="28" t="s">
        <v>7</v>
      </c>
      <c r="I51" s="28" t="s">
        <v>8</v>
      </c>
      <c r="J51" s="29" t="s">
        <v>10</v>
      </c>
      <c r="K51" s="16"/>
      <c r="L51" s="51"/>
    </row>
    <row r="52">
      <c r="A52" s="112" t="s">
        <v>93</v>
      </c>
      <c r="B52" s="113">
        <v>15.0</v>
      </c>
      <c r="C52" s="78">
        <f>SUM(B56:AE56)</f>
        <v>1</v>
      </c>
      <c r="D52" s="135"/>
      <c r="E52" s="91"/>
      <c r="F52" s="78" t="str">
        <f>C52/'ВАЖ ОП'!AJ148*'ВАЖ ОП'!AK148</f>
        <v>#DIV/0!</v>
      </c>
      <c r="G52" s="136"/>
      <c r="H52" s="78"/>
      <c r="I52" s="114"/>
      <c r="J52" s="115" t="str">
        <f>C52/'ВАЖ ОП'!AJ148</f>
        <v>#DIV/0!</v>
      </c>
      <c r="K52" s="13"/>
      <c r="L52" s="13"/>
    </row>
    <row r="53">
      <c r="A53" s="112" t="s">
        <v>94</v>
      </c>
      <c r="B53" s="78">
        <f>B54/B52</f>
        <v>1333.333333</v>
      </c>
      <c r="C53" s="132">
        <f>IFERROR(C54/C52,"-")</f>
        <v>0</v>
      </c>
      <c r="D53" s="93"/>
      <c r="E53" s="84"/>
      <c r="F53" s="132" t="str">
        <f>IFERROR(F54/F52,"-")</f>
        <v>-</v>
      </c>
      <c r="H53" s="79"/>
      <c r="I53" s="78"/>
      <c r="J53" s="116"/>
      <c r="K53" s="13"/>
      <c r="L53" s="13"/>
    </row>
    <row r="54">
      <c r="A54" s="112" t="s">
        <v>95</v>
      </c>
      <c r="B54" s="113">
        <v>20000.0</v>
      </c>
      <c r="C54" s="78">
        <f>SUM(B58:AE58)</f>
        <v>0</v>
      </c>
      <c r="D54" s="135"/>
      <c r="E54" s="78"/>
      <c r="F54" s="78" t="str">
        <f>C54/'ВАЖ ОП'!AJ148*'ВАЖ ОП'!AK148</f>
        <v>#DIV/0!</v>
      </c>
      <c r="G54" s="136"/>
      <c r="H54" s="78"/>
      <c r="I54" s="78"/>
      <c r="J54" s="91" t="str">
        <f>C54/'ВАЖ ОП'!AJ148</f>
        <v>#DIV/0!</v>
      </c>
      <c r="K54" s="87"/>
      <c r="L54" s="13"/>
    </row>
    <row r="55">
      <c r="A55" s="119" t="s">
        <v>108</v>
      </c>
      <c r="B55" s="120">
        <v>44501.0</v>
      </c>
      <c r="C55" s="120">
        <v>44502.0</v>
      </c>
      <c r="D55" s="120">
        <v>44503.0</v>
      </c>
      <c r="E55" s="120">
        <v>44504.0</v>
      </c>
      <c r="F55" s="120">
        <v>44505.0</v>
      </c>
      <c r="G55" s="120">
        <v>44506.0</v>
      </c>
      <c r="H55" s="120">
        <v>44507.0</v>
      </c>
      <c r="I55" s="120">
        <v>44508.0</v>
      </c>
      <c r="J55" s="120">
        <v>44509.0</v>
      </c>
      <c r="K55" s="120">
        <v>44510.0</v>
      </c>
      <c r="L55" s="120">
        <v>44511.0</v>
      </c>
      <c r="M55" s="120">
        <v>44512.0</v>
      </c>
      <c r="N55" s="120">
        <v>44513.0</v>
      </c>
      <c r="O55" s="120">
        <v>44514.0</v>
      </c>
      <c r="P55" s="120">
        <v>44515.0</v>
      </c>
      <c r="Q55" s="120">
        <v>44516.0</v>
      </c>
      <c r="R55" s="120">
        <v>44517.0</v>
      </c>
      <c r="S55" s="120">
        <v>44518.0</v>
      </c>
      <c r="T55" s="120">
        <v>44519.0</v>
      </c>
      <c r="U55" s="120">
        <v>44520.0</v>
      </c>
      <c r="V55" s="120">
        <v>44521.0</v>
      </c>
      <c r="W55" s="120">
        <v>44522.0</v>
      </c>
      <c r="X55" s="120">
        <v>44523.0</v>
      </c>
      <c r="Y55" s="120">
        <v>44524.0</v>
      </c>
      <c r="Z55" s="120">
        <v>44525.0</v>
      </c>
      <c r="AA55" s="120">
        <v>44526.0</v>
      </c>
      <c r="AB55" s="120">
        <v>44527.0</v>
      </c>
      <c r="AC55" s="120">
        <v>44528.0</v>
      </c>
      <c r="AD55" s="120">
        <v>44529.0</v>
      </c>
      <c r="AE55" s="120">
        <v>44530.0</v>
      </c>
      <c r="AF55" s="120">
        <v>44500.0</v>
      </c>
    </row>
    <row r="56">
      <c r="A56" s="121" t="s">
        <v>93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>
        <v>1.0</v>
      </c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</row>
    <row r="57">
      <c r="A57" s="121" t="s">
        <v>94</v>
      </c>
      <c r="B57" s="123" t="str">
        <f t="shared" ref="B57:AF57" si="17">IFERROR(B58/B56,"-")</f>
        <v>-</v>
      </c>
      <c r="C57" s="123" t="str">
        <f t="shared" si="17"/>
        <v>-</v>
      </c>
      <c r="D57" s="123" t="str">
        <f t="shared" si="17"/>
        <v>-</v>
      </c>
      <c r="E57" s="123" t="str">
        <f t="shared" si="17"/>
        <v>-</v>
      </c>
      <c r="F57" s="123" t="str">
        <f t="shared" si="17"/>
        <v>-</v>
      </c>
      <c r="G57" s="123" t="str">
        <f t="shared" si="17"/>
        <v>-</v>
      </c>
      <c r="H57" s="123" t="str">
        <f t="shared" si="17"/>
        <v>-</v>
      </c>
      <c r="I57" s="123" t="str">
        <f t="shared" si="17"/>
        <v>-</v>
      </c>
      <c r="J57" s="123" t="str">
        <f t="shared" si="17"/>
        <v>-</v>
      </c>
      <c r="K57" s="123" t="str">
        <f t="shared" si="17"/>
        <v>-</v>
      </c>
      <c r="L57" s="123" t="str">
        <f t="shared" si="17"/>
        <v>-</v>
      </c>
      <c r="M57" s="123" t="str">
        <f t="shared" si="17"/>
        <v>-</v>
      </c>
      <c r="N57" s="123" t="str">
        <f t="shared" si="17"/>
        <v>-</v>
      </c>
      <c r="O57" s="123" t="str">
        <f t="shared" si="17"/>
        <v>-</v>
      </c>
      <c r="P57" s="123" t="str">
        <f t="shared" si="17"/>
        <v>-</v>
      </c>
      <c r="Q57" s="123">
        <f t="shared" si="17"/>
        <v>0</v>
      </c>
      <c r="R57" s="123" t="str">
        <f t="shared" si="17"/>
        <v>-</v>
      </c>
      <c r="S57" s="123" t="str">
        <f t="shared" si="17"/>
        <v>-</v>
      </c>
      <c r="T57" s="123" t="str">
        <f t="shared" si="17"/>
        <v>-</v>
      </c>
      <c r="U57" s="123" t="str">
        <f t="shared" si="17"/>
        <v>-</v>
      </c>
      <c r="V57" s="123" t="str">
        <f t="shared" si="17"/>
        <v>-</v>
      </c>
      <c r="W57" s="123" t="str">
        <f t="shared" si="17"/>
        <v>-</v>
      </c>
      <c r="X57" s="123" t="str">
        <f t="shared" si="17"/>
        <v>-</v>
      </c>
      <c r="Y57" s="123" t="str">
        <f t="shared" si="17"/>
        <v>-</v>
      </c>
      <c r="Z57" s="123" t="str">
        <f t="shared" si="17"/>
        <v>-</v>
      </c>
      <c r="AA57" s="123" t="str">
        <f t="shared" si="17"/>
        <v>-</v>
      </c>
      <c r="AB57" s="123" t="str">
        <f t="shared" si="17"/>
        <v>-</v>
      </c>
      <c r="AC57" s="123" t="str">
        <f t="shared" si="17"/>
        <v>-</v>
      </c>
      <c r="AD57" s="123" t="str">
        <f t="shared" si="17"/>
        <v>-</v>
      </c>
      <c r="AE57" s="123" t="str">
        <f t="shared" si="17"/>
        <v>-</v>
      </c>
      <c r="AF57" s="123" t="str">
        <f t="shared" si="17"/>
        <v>-</v>
      </c>
    </row>
    <row r="58">
      <c r="A58" s="121" t="s">
        <v>99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123"/>
      <c r="AC58" s="123"/>
      <c r="AD58" s="123"/>
      <c r="AE58" s="123"/>
      <c r="AF58" s="123"/>
    </row>
    <row r="59">
      <c r="A59" s="35"/>
      <c r="B59" s="53"/>
      <c r="C59" s="53"/>
      <c r="D59" s="53"/>
      <c r="E59" s="53"/>
      <c r="F59" s="55"/>
      <c r="G59" s="55"/>
      <c r="H59" s="54"/>
      <c r="I59" s="54"/>
      <c r="J59" s="54"/>
      <c r="K59" s="54"/>
      <c r="L59" s="54"/>
    </row>
    <row r="60">
      <c r="A60" s="26" t="s">
        <v>100</v>
      </c>
      <c r="B60" s="27" t="s">
        <v>1</v>
      </c>
      <c r="C60" s="28" t="s">
        <v>2</v>
      </c>
      <c r="D60" s="28" t="str">
        <f>CONCATENATE("Выполнено ",INT('ВАЖ ОП'!AJ148/'ВАЖ ОП'!AK148*100),"%")</f>
        <v>#DIV/0!</v>
      </c>
      <c r="E60" s="28" t="s">
        <v>4</v>
      </c>
      <c r="F60" s="29" t="s">
        <v>5</v>
      </c>
      <c r="G60" s="29" t="s">
        <v>6</v>
      </c>
      <c r="H60" s="28" t="s">
        <v>7</v>
      </c>
      <c r="I60" s="28" t="s">
        <v>8</v>
      </c>
      <c r="J60" s="29" t="s">
        <v>10</v>
      </c>
      <c r="K60" s="16"/>
      <c r="L60" s="51"/>
    </row>
    <row r="61">
      <c r="A61" s="112" t="s">
        <v>93</v>
      </c>
      <c r="B61" s="113">
        <v>20.0</v>
      </c>
      <c r="C61" s="78">
        <f>SUM(B65:AE65)</f>
        <v>21</v>
      </c>
      <c r="D61" s="93">
        <f>C61/B61</f>
        <v>1.05</v>
      </c>
      <c r="E61" s="91">
        <f>B61-C61</f>
        <v>-1</v>
      </c>
      <c r="F61" s="78" t="str">
        <f>C61/'ВАЖ ОП'!AJ148*'ВАЖ ОП'!AK148</f>
        <v>#DIV/0!</v>
      </c>
      <c r="G61" s="129" t="str">
        <f t="shared" ref="G61:G63" si="19">F61/B61</f>
        <v>#DIV/0!</v>
      </c>
      <c r="H61" s="78" t="str">
        <f>F61-B61</f>
        <v>#DIV/0!</v>
      </c>
      <c r="I61" s="114" t="str">
        <f>E61/('ВАЖ ОП'!AK148-'ВАЖ ОП'!AJ148)</f>
        <v>#DIV/0!</v>
      </c>
      <c r="J61" s="115" t="str">
        <f>C61/'ВАЖ ОП'!AJ148</f>
        <v>#DIV/0!</v>
      </c>
      <c r="K61" s="79"/>
      <c r="L61" s="79"/>
    </row>
    <row r="62">
      <c r="A62" s="112" t="s">
        <v>94</v>
      </c>
      <c r="B62" s="78">
        <f t="shared" ref="B62:C62" si="18">B63/B61</f>
        <v>1500</v>
      </c>
      <c r="C62" s="78">
        <f t="shared" si="18"/>
        <v>0</v>
      </c>
      <c r="D62" s="93"/>
      <c r="E62" s="79"/>
      <c r="F62" s="78" t="str">
        <f>F63/F61</f>
        <v>#DIV/0!</v>
      </c>
      <c r="G62" s="93" t="str">
        <f t="shared" si="19"/>
        <v>#DIV/0!</v>
      </c>
      <c r="H62" s="79"/>
      <c r="I62" s="78"/>
      <c r="J62" s="116"/>
      <c r="K62" s="79"/>
      <c r="L62" s="79"/>
    </row>
    <row r="63">
      <c r="A63" s="112" t="s">
        <v>95</v>
      </c>
      <c r="B63" s="113">
        <v>30000.0</v>
      </c>
      <c r="C63" s="78">
        <f>SUM(B67:AE67)</f>
        <v>0</v>
      </c>
      <c r="D63" s="93">
        <f>C63/B63</f>
        <v>0</v>
      </c>
      <c r="E63" s="78">
        <f>B63-C63</f>
        <v>30000</v>
      </c>
      <c r="F63" s="78" t="str">
        <f>C63/'ВАЖ ОП'!AJ148*'ВАЖ ОП'!AK148</f>
        <v>#DIV/0!</v>
      </c>
      <c r="G63" s="129" t="str">
        <f t="shared" si="19"/>
        <v>#DIV/0!</v>
      </c>
      <c r="H63" s="78" t="str">
        <f>F63-B63</f>
        <v>#DIV/0!</v>
      </c>
      <c r="I63" s="78" t="str">
        <f>E63/('ВАЖ ОП'!AK148-'ВАЖ ОП'!AJ148)</f>
        <v>#DIV/0!</v>
      </c>
      <c r="J63" s="91" t="str">
        <f>C63/'ВАЖ ОП'!AJ148</f>
        <v>#DIV/0!</v>
      </c>
      <c r="K63" s="79"/>
      <c r="L63" s="79"/>
    </row>
    <row r="64">
      <c r="A64" s="119" t="s">
        <v>101</v>
      </c>
      <c r="B64" s="120">
        <v>44501.0</v>
      </c>
      <c r="C64" s="120">
        <v>44502.0</v>
      </c>
      <c r="D64" s="120">
        <v>44503.0</v>
      </c>
      <c r="E64" s="120">
        <v>44504.0</v>
      </c>
      <c r="F64" s="120">
        <v>44505.0</v>
      </c>
      <c r="G64" s="120">
        <v>44506.0</v>
      </c>
      <c r="H64" s="120">
        <v>44507.0</v>
      </c>
      <c r="I64" s="120">
        <v>44508.0</v>
      </c>
      <c r="J64" s="120">
        <v>44509.0</v>
      </c>
      <c r="K64" s="120">
        <v>44510.0</v>
      </c>
      <c r="L64" s="120">
        <v>44511.0</v>
      </c>
      <c r="M64" s="120">
        <v>44512.0</v>
      </c>
      <c r="N64" s="120">
        <v>44513.0</v>
      </c>
      <c r="O64" s="120">
        <v>44514.0</v>
      </c>
      <c r="P64" s="120">
        <v>44515.0</v>
      </c>
      <c r="Q64" s="120">
        <v>44516.0</v>
      </c>
      <c r="R64" s="120">
        <v>44517.0</v>
      </c>
      <c r="S64" s="120">
        <v>44518.0</v>
      </c>
      <c r="T64" s="120">
        <v>44519.0</v>
      </c>
      <c r="U64" s="120">
        <v>44520.0</v>
      </c>
      <c r="V64" s="120">
        <v>44521.0</v>
      </c>
      <c r="W64" s="120">
        <v>44522.0</v>
      </c>
      <c r="X64" s="120">
        <v>44523.0</v>
      </c>
      <c r="Y64" s="120">
        <v>44524.0</v>
      </c>
      <c r="Z64" s="120">
        <v>44525.0</v>
      </c>
      <c r="AA64" s="120">
        <v>44526.0</v>
      </c>
      <c r="AB64" s="120">
        <v>44527.0</v>
      </c>
      <c r="AC64" s="120">
        <v>44528.0</v>
      </c>
      <c r="AD64" s="120">
        <v>44529.0</v>
      </c>
      <c r="AE64" s="120">
        <v>44530.0</v>
      </c>
      <c r="AF64" s="120">
        <v>44500.0</v>
      </c>
    </row>
    <row r="65">
      <c r="A65" s="121" t="s">
        <v>93</v>
      </c>
      <c r="B65" s="148">
        <v>4.0</v>
      </c>
      <c r="C65" s="148">
        <v>1.0</v>
      </c>
      <c r="D65" s="141">
        <v>1.0</v>
      </c>
      <c r="E65" s="141"/>
      <c r="F65" s="90"/>
      <c r="G65" s="148">
        <v>1.0</v>
      </c>
      <c r="H65" s="141">
        <v>2.0</v>
      </c>
      <c r="I65" s="149"/>
      <c r="J65" s="141"/>
      <c r="K65" s="148">
        <v>2.0</v>
      </c>
      <c r="L65" s="141"/>
      <c r="M65" s="141"/>
      <c r="N65" s="141"/>
      <c r="O65" s="149"/>
      <c r="P65" s="148">
        <v>2.0</v>
      </c>
      <c r="Q65" s="141"/>
      <c r="R65" s="122"/>
      <c r="S65" s="122"/>
      <c r="T65" s="122">
        <v>2.0</v>
      </c>
      <c r="U65" s="123"/>
      <c r="V65" s="122">
        <v>1.0</v>
      </c>
      <c r="W65" s="122"/>
      <c r="X65" s="122">
        <v>2.0</v>
      </c>
      <c r="Y65" s="122"/>
      <c r="Z65" s="122"/>
      <c r="AA65" s="122">
        <v>1.0</v>
      </c>
      <c r="AB65" s="123"/>
      <c r="AC65" s="122"/>
      <c r="AD65" s="122">
        <v>1.0</v>
      </c>
      <c r="AE65" s="122">
        <v>1.0</v>
      </c>
      <c r="AF65" s="123"/>
    </row>
    <row r="66">
      <c r="A66" s="121" t="s">
        <v>94</v>
      </c>
      <c r="B66" s="123">
        <f t="shared" ref="B66:AF66" si="20">IFERROR(B67/B65,"-")</f>
        <v>0</v>
      </c>
      <c r="C66" s="123">
        <f t="shared" si="20"/>
        <v>0</v>
      </c>
      <c r="D66" s="123">
        <f t="shared" si="20"/>
        <v>0</v>
      </c>
      <c r="E66" s="123" t="str">
        <f t="shared" si="20"/>
        <v>-</v>
      </c>
      <c r="F66" s="123" t="str">
        <f t="shared" si="20"/>
        <v>-</v>
      </c>
      <c r="G66" s="123">
        <f t="shared" si="20"/>
        <v>0</v>
      </c>
      <c r="H66" s="123">
        <f t="shared" si="20"/>
        <v>0</v>
      </c>
      <c r="I66" s="123" t="str">
        <f t="shared" si="20"/>
        <v>-</v>
      </c>
      <c r="J66" s="123" t="str">
        <f t="shared" si="20"/>
        <v>-</v>
      </c>
      <c r="K66" s="123">
        <f t="shared" si="20"/>
        <v>0</v>
      </c>
      <c r="L66" s="123" t="str">
        <f t="shared" si="20"/>
        <v>-</v>
      </c>
      <c r="M66" s="123" t="str">
        <f t="shared" si="20"/>
        <v>-</v>
      </c>
      <c r="N66" s="123" t="str">
        <f t="shared" si="20"/>
        <v>-</v>
      </c>
      <c r="O66" s="123" t="str">
        <f t="shared" si="20"/>
        <v>-</v>
      </c>
      <c r="P66" s="123">
        <f t="shared" si="20"/>
        <v>0</v>
      </c>
      <c r="Q66" s="123" t="str">
        <f t="shared" si="20"/>
        <v>-</v>
      </c>
      <c r="R66" s="123" t="str">
        <f t="shared" si="20"/>
        <v>-</v>
      </c>
      <c r="S66" s="123" t="str">
        <f t="shared" si="20"/>
        <v>-</v>
      </c>
      <c r="T66" s="123">
        <f t="shared" si="20"/>
        <v>0</v>
      </c>
      <c r="U66" s="123" t="str">
        <f t="shared" si="20"/>
        <v>-</v>
      </c>
      <c r="V66" s="123">
        <f t="shared" si="20"/>
        <v>0</v>
      </c>
      <c r="W66" s="123" t="str">
        <f t="shared" si="20"/>
        <v>-</v>
      </c>
      <c r="X66" s="123">
        <f t="shared" si="20"/>
        <v>0</v>
      </c>
      <c r="Y66" s="123" t="str">
        <f t="shared" si="20"/>
        <v>-</v>
      </c>
      <c r="Z66" s="123" t="str">
        <f t="shared" si="20"/>
        <v>-</v>
      </c>
      <c r="AA66" s="123">
        <f t="shared" si="20"/>
        <v>0</v>
      </c>
      <c r="AB66" s="123" t="str">
        <f t="shared" si="20"/>
        <v>-</v>
      </c>
      <c r="AC66" s="123" t="str">
        <f t="shared" si="20"/>
        <v>-</v>
      </c>
      <c r="AD66" s="123">
        <f t="shared" si="20"/>
        <v>0</v>
      </c>
      <c r="AE66" s="123">
        <f t="shared" si="20"/>
        <v>0</v>
      </c>
      <c r="AF66" s="123" t="str">
        <f t="shared" si="20"/>
        <v>-</v>
      </c>
    </row>
    <row r="67">
      <c r="A67" s="121" t="s">
        <v>99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2"/>
      <c r="L67" s="142"/>
      <c r="M67" s="145"/>
      <c r="N67" s="144"/>
      <c r="O67" s="144"/>
      <c r="P67" s="144"/>
      <c r="Q67" s="144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</row>
    <row r="69">
      <c r="A69" s="26"/>
      <c r="B69" s="27"/>
      <c r="C69" s="28"/>
      <c r="D69" s="28"/>
      <c r="E69" s="28"/>
      <c r="F69" s="29"/>
      <c r="G69" s="29"/>
      <c r="H69" s="28"/>
      <c r="I69" s="28"/>
      <c r="J69" s="29"/>
      <c r="K69" s="16"/>
      <c r="L69" s="51"/>
    </row>
    <row r="86">
      <c r="A86" s="121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</row>
    <row r="87">
      <c r="A87" s="121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</row>
    <row r="90">
      <c r="A90" s="100" t="s">
        <v>103</v>
      </c>
      <c r="B90" s="101" t="s">
        <v>1</v>
      </c>
      <c r="C90" s="102" t="s">
        <v>2</v>
      </c>
      <c r="D90" s="102" t="str">
        <f>CONCATENATE("Выполнено ",INT('ВАЖ ОП'!AJ160/'ВАЖ ОП'!AK160*100),"%")</f>
        <v>#DIV/0!</v>
      </c>
      <c r="E90" s="102" t="s">
        <v>4</v>
      </c>
      <c r="F90" s="103" t="s">
        <v>5</v>
      </c>
      <c r="G90" s="103" t="s">
        <v>6</v>
      </c>
      <c r="H90" s="104" t="s">
        <v>7</v>
      </c>
      <c r="I90" s="104" t="s">
        <v>8</v>
      </c>
      <c r="J90" s="103" t="s">
        <v>10</v>
      </c>
      <c r="K90" s="16"/>
    </row>
    <row r="91">
      <c r="A91" s="105" t="s">
        <v>93</v>
      </c>
      <c r="B91" s="9">
        <f>B97+B106+B115</f>
        <v>53</v>
      </c>
      <c r="C91" s="9">
        <f>C97+C115</f>
        <v>50</v>
      </c>
      <c r="D91" s="10">
        <f>C91/B91</f>
        <v>0.9433962264</v>
      </c>
      <c r="E91" s="9">
        <f>B91-C91</f>
        <v>3</v>
      </c>
      <c r="F91" s="9" t="str">
        <f>C91/'ВАЖ ОП'!AJ160*'ВАЖ ОП'!AK160</f>
        <v>#DIV/0!</v>
      </c>
      <c r="G91" s="10" t="str">
        <f t="shared" ref="G91:G93" si="22">F91/B91</f>
        <v>#DIV/0!</v>
      </c>
      <c r="H91" s="9" t="str">
        <f>F91-B91</f>
        <v>#DIV/0!</v>
      </c>
      <c r="I91" s="106" t="str">
        <f>E91/('ВАЖ ОП'!AK160-'ВАЖ ОП'!AJ160)</f>
        <v>#DIV/0!</v>
      </c>
      <c r="J91" s="46" t="str">
        <f>C91/'ВАЖ ОП'!AJ160</f>
        <v>#DIV/0!</v>
      </c>
      <c r="K91" s="107"/>
    </row>
    <row r="92">
      <c r="A92" s="105" t="s">
        <v>94</v>
      </c>
      <c r="B92" s="8">
        <f t="shared" ref="B92:C92" si="21">B93/B91</f>
        <v>2000</v>
      </c>
      <c r="C92" s="9">
        <f t="shared" si="21"/>
        <v>1316.9184</v>
      </c>
      <c r="D92" s="10"/>
      <c r="E92" s="109"/>
      <c r="F92" s="9" t="str">
        <f>F93/F91</f>
        <v>#DIV/0!</v>
      </c>
      <c r="G92" s="10" t="str">
        <f t="shared" si="22"/>
        <v>#DIV/0!</v>
      </c>
      <c r="H92" s="109"/>
      <c r="I92" s="109"/>
      <c r="J92" s="107"/>
      <c r="K92" s="107"/>
    </row>
    <row r="93">
      <c r="A93" s="105" t="s">
        <v>95</v>
      </c>
      <c r="B93" s="9">
        <f t="shared" ref="B93:C93" si="23">B99+B108+B117</f>
        <v>106000</v>
      </c>
      <c r="C93" s="9">
        <f t="shared" si="23"/>
        <v>65845.92</v>
      </c>
      <c r="D93" s="10">
        <f>C93/B93</f>
        <v>0.6211879245</v>
      </c>
      <c r="E93" s="9">
        <f>B93-C93</f>
        <v>40154.08</v>
      </c>
      <c r="F93" s="9" t="str">
        <f>C93/'ВАЖ ОП'!AJ160*'ВАЖ ОП'!AK160</f>
        <v>#DIV/0!</v>
      </c>
      <c r="G93" s="10" t="str">
        <f t="shared" si="22"/>
        <v>#DIV/0!</v>
      </c>
      <c r="H93" s="9" t="str">
        <f>F93-B93</f>
        <v>#DIV/0!</v>
      </c>
      <c r="I93" s="19" t="str">
        <f>E93/('ВАЖ ОП'!AK160-'ВАЖ ОП'!AJ160)</f>
        <v>#DIV/0!</v>
      </c>
      <c r="J93" s="19" t="str">
        <f>C93/'ВАЖ ОП'!AJ160</f>
        <v>#DIV/0!</v>
      </c>
      <c r="K93" s="107"/>
    </row>
    <row r="94">
      <c r="A94" s="50" t="s">
        <v>116</v>
      </c>
      <c r="B94" s="50">
        <v>31.0</v>
      </c>
      <c r="C94" s="138">
        <f>DAY(TODAY()-1)</f>
        <v>7</v>
      </c>
    </row>
    <row r="95">
      <c r="A95" s="110" t="s">
        <v>96</v>
      </c>
      <c r="B95" s="22"/>
      <c r="C95" s="23"/>
      <c r="D95" s="23"/>
      <c r="E95" s="23"/>
      <c r="F95" s="23"/>
      <c r="G95" s="23"/>
      <c r="H95" s="23"/>
      <c r="I95" s="23"/>
      <c r="J95" s="23"/>
      <c r="K95" s="24"/>
      <c r="L95" s="24"/>
    </row>
    <row r="96">
      <c r="A96" s="26" t="s">
        <v>97</v>
      </c>
      <c r="B96" s="27" t="s">
        <v>1</v>
      </c>
      <c r="C96" s="28" t="s">
        <v>2</v>
      </c>
      <c r="D96" s="28" t="str">
        <f>CONCATENATE("Выполнено ",INT('ВАЖ ОП'!AJ160/'ВАЖ ОП'!AK160*100),"%")</f>
        <v>#DIV/0!</v>
      </c>
      <c r="E96" s="28" t="s">
        <v>4</v>
      </c>
      <c r="F96" s="29" t="s">
        <v>5</v>
      </c>
      <c r="G96" s="29" t="s">
        <v>6</v>
      </c>
      <c r="H96" s="28" t="s">
        <v>7</v>
      </c>
      <c r="I96" s="28" t="s">
        <v>8</v>
      </c>
      <c r="J96" s="29" t="s">
        <v>10</v>
      </c>
      <c r="K96" s="16"/>
      <c r="L96" s="111"/>
    </row>
    <row r="97">
      <c r="A97" s="112" t="s">
        <v>93</v>
      </c>
      <c r="B97" s="113">
        <v>25.0</v>
      </c>
      <c r="C97" s="78">
        <f>SUM(B101:AE101)+SUM(B110:AE110)</f>
        <v>35</v>
      </c>
      <c r="D97" s="93">
        <f>C97/B97</f>
        <v>1.4</v>
      </c>
      <c r="E97" s="91">
        <f>B97-C97</f>
        <v>-10</v>
      </c>
      <c r="F97" s="78" t="str">
        <f>C97/'ВАЖ ОП'!AJ160*'ВАЖ ОП'!AK160</f>
        <v>#DIV/0!</v>
      </c>
      <c r="G97" s="93" t="str">
        <f t="shared" ref="G97:G99" si="25">F97/B97</f>
        <v>#DIV/0!</v>
      </c>
      <c r="H97" s="78" t="str">
        <f>F97-B97</f>
        <v>#DIV/0!</v>
      </c>
      <c r="I97" s="114" t="str">
        <f>E97/('ВАЖ ОП'!AK160-'ВАЖ ОП'!AJ160)</f>
        <v>#DIV/0!</v>
      </c>
      <c r="J97" s="115" t="str">
        <f>C97/'ВАЖ ОП'!AJ160</f>
        <v>#DIV/0!</v>
      </c>
      <c r="K97" s="116"/>
      <c r="L97" s="13"/>
    </row>
    <row r="98">
      <c r="A98" s="112" t="s">
        <v>94</v>
      </c>
      <c r="B98" s="78">
        <f t="shared" ref="B98:C98" si="24">B99/B97</f>
        <v>2000</v>
      </c>
      <c r="C98" s="78">
        <f t="shared" si="24"/>
        <v>1443.602</v>
      </c>
      <c r="D98" s="93"/>
      <c r="E98" s="79"/>
      <c r="F98" s="78" t="str">
        <f>F99/F97</f>
        <v>#DIV/0!</v>
      </c>
      <c r="G98" s="93" t="str">
        <f t="shared" si="25"/>
        <v>#DIV/0!</v>
      </c>
      <c r="H98" s="116"/>
      <c r="I98" s="117"/>
      <c r="J98" s="116"/>
      <c r="K98" s="116"/>
      <c r="L98" s="13"/>
    </row>
    <row r="99">
      <c r="A99" s="112" t="s">
        <v>95</v>
      </c>
      <c r="B99" s="113">
        <v>50000.0</v>
      </c>
      <c r="C99" s="78">
        <f>SUM(B103:AE103)+SUM(B112:AE112)</f>
        <v>50526.07</v>
      </c>
      <c r="D99" s="93">
        <f>C99/B99</f>
        <v>1.0105214</v>
      </c>
      <c r="E99" s="78">
        <f>B99-C99</f>
        <v>-526.07</v>
      </c>
      <c r="F99" s="78" t="str">
        <f>C99/'ВАЖ ОП'!AJ160*'ВАЖ ОП'!AK160</f>
        <v>#DIV/0!</v>
      </c>
      <c r="G99" s="93" t="str">
        <f t="shared" si="25"/>
        <v>#DIV/0!</v>
      </c>
      <c r="H99" s="78" t="str">
        <f>F99-B99</f>
        <v>#DIV/0!</v>
      </c>
      <c r="I99" s="78" t="str">
        <f>E99/('ВАЖ ОП'!AK160-'ВАЖ ОП'!AJ160)</f>
        <v>#DIV/0!</v>
      </c>
      <c r="J99" s="91" t="str">
        <f>C99/'ВАЖ ОП'!AJ160</f>
        <v>#DIV/0!</v>
      </c>
      <c r="K99" s="118"/>
      <c r="L99" s="13"/>
    </row>
    <row r="100">
      <c r="A100" s="119" t="s">
        <v>98</v>
      </c>
      <c r="B100" s="120">
        <v>44470.0</v>
      </c>
      <c r="C100" s="120">
        <v>44471.0</v>
      </c>
      <c r="D100" s="120">
        <v>44472.0</v>
      </c>
      <c r="E100" s="120">
        <v>44473.0</v>
      </c>
      <c r="F100" s="120">
        <v>44474.0</v>
      </c>
      <c r="G100" s="120">
        <v>44475.0</v>
      </c>
      <c r="H100" s="120">
        <v>44476.0</v>
      </c>
      <c r="I100" s="120">
        <v>44477.0</v>
      </c>
      <c r="J100" s="120">
        <v>44478.0</v>
      </c>
      <c r="K100" s="120">
        <v>44479.0</v>
      </c>
      <c r="L100" s="120">
        <v>44480.0</v>
      </c>
      <c r="M100" s="120">
        <v>44481.0</v>
      </c>
      <c r="N100" s="120">
        <v>44482.0</v>
      </c>
      <c r="O100" s="120">
        <v>44483.0</v>
      </c>
      <c r="P100" s="120">
        <v>44484.0</v>
      </c>
      <c r="Q100" s="120">
        <v>44485.0</v>
      </c>
      <c r="R100" s="120">
        <v>44486.0</v>
      </c>
      <c r="S100" s="120">
        <v>44487.0</v>
      </c>
      <c r="T100" s="120">
        <v>44488.0</v>
      </c>
      <c r="U100" s="120">
        <v>44489.0</v>
      </c>
      <c r="V100" s="120">
        <v>44490.0</v>
      </c>
      <c r="W100" s="120">
        <v>44491.0</v>
      </c>
      <c r="X100" s="120">
        <v>44492.0</v>
      </c>
      <c r="Y100" s="120">
        <v>44493.0</v>
      </c>
      <c r="Z100" s="120">
        <v>44494.0</v>
      </c>
      <c r="AA100" s="120">
        <v>44495.0</v>
      </c>
      <c r="AB100" s="120">
        <v>44496.0</v>
      </c>
      <c r="AC100" s="120">
        <v>44497.0</v>
      </c>
      <c r="AD100" s="120">
        <v>44498.0</v>
      </c>
      <c r="AE100" s="120">
        <v>44499.0</v>
      </c>
      <c r="AF100" s="120">
        <v>44500.0</v>
      </c>
    </row>
    <row r="101">
      <c r="A101" s="121" t="s">
        <v>93</v>
      </c>
      <c r="B101" s="146">
        <v>2.0</v>
      </c>
      <c r="C101" s="147"/>
      <c r="D101" s="147"/>
      <c r="E101" s="146">
        <v>2.0</v>
      </c>
      <c r="F101" s="146">
        <v>2.0</v>
      </c>
      <c r="G101" s="146">
        <v>1.0</v>
      </c>
      <c r="H101" s="146">
        <v>1.0</v>
      </c>
      <c r="I101" s="146">
        <v>2.0</v>
      </c>
      <c r="J101" s="147"/>
      <c r="K101" s="146">
        <v>2.0</v>
      </c>
      <c r="L101" s="147"/>
      <c r="M101" s="146">
        <v>3.0</v>
      </c>
      <c r="N101" s="147"/>
      <c r="O101" s="146">
        <v>3.0</v>
      </c>
      <c r="P101" s="146">
        <v>2.0</v>
      </c>
      <c r="Q101" s="146">
        <v>2.0</v>
      </c>
      <c r="R101" s="141"/>
      <c r="S101" s="122">
        <v>1.0</v>
      </c>
      <c r="T101" s="122"/>
      <c r="U101" s="122"/>
      <c r="V101" s="122">
        <v>2.0</v>
      </c>
      <c r="W101" s="122">
        <v>1.0</v>
      </c>
      <c r="X101" s="122">
        <v>1.0</v>
      </c>
      <c r="Y101" s="122">
        <v>3.0</v>
      </c>
      <c r="Z101" s="122">
        <v>2.0</v>
      </c>
      <c r="AA101" s="123"/>
      <c r="AB101" s="122">
        <v>1.0</v>
      </c>
      <c r="AC101" s="122"/>
      <c r="AD101" s="122">
        <v>1.0</v>
      </c>
      <c r="AE101" s="123"/>
      <c r="AF101" s="123"/>
    </row>
    <row r="102">
      <c r="A102" s="121" t="s">
        <v>94</v>
      </c>
      <c r="B102" s="123">
        <f t="shared" ref="B102:AF102" si="26">IFERROR(B103/B101,"-")</f>
        <v>0</v>
      </c>
      <c r="C102" s="123" t="str">
        <f t="shared" si="26"/>
        <v>-</v>
      </c>
      <c r="D102" s="123" t="str">
        <f t="shared" si="26"/>
        <v>-</v>
      </c>
      <c r="E102" s="123">
        <f t="shared" si="26"/>
        <v>708.3</v>
      </c>
      <c r="F102" s="123">
        <f t="shared" si="26"/>
        <v>862.89</v>
      </c>
      <c r="G102" s="123">
        <f t="shared" si="26"/>
        <v>2211.59</v>
      </c>
      <c r="H102" s="123">
        <f t="shared" si="26"/>
        <v>2111.4</v>
      </c>
      <c r="I102" s="123">
        <f t="shared" si="26"/>
        <v>1453.09</v>
      </c>
      <c r="J102" s="123" t="str">
        <f t="shared" si="26"/>
        <v>-</v>
      </c>
      <c r="K102" s="123">
        <f t="shared" si="26"/>
        <v>342.14</v>
      </c>
      <c r="L102" s="123" t="str">
        <f t="shared" si="26"/>
        <v>-</v>
      </c>
      <c r="M102" s="123">
        <f t="shared" si="26"/>
        <v>91.64333333</v>
      </c>
      <c r="N102" s="123" t="str">
        <f t="shared" si="26"/>
        <v>-</v>
      </c>
      <c r="O102" s="123">
        <f t="shared" si="26"/>
        <v>1319.52</v>
      </c>
      <c r="P102" s="123">
        <f t="shared" si="26"/>
        <v>393.27</v>
      </c>
      <c r="Q102" s="123">
        <f t="shared" si="26"/>
        <v>759.07</v>
      </c>
      <c r="R102" s="123" t="str">
        <f t="shared" si="26"/>
        <v>-</v>
      </c>
      <c r="S102" s="123">
        <f t="shared" si="26"/>
        <v>980.2</v>
      </c>
      <c r="T102" s="123" t="str">
        <f t="shared" si="26"/>
        <v>-</v>
      </c>
      <c r="U102" s="123" t="str">
        <f t="shared" si="26"/>
        <v>-</v>
      </c>
      <c r="V102" s="123">
        <f t="shared" si="26"/>
        <v>1203.94</v>
      </c>
      <c r="W102" s="123">
        <f t="shared" si="26"/>
        <v>282.12</v>
      </c>
      <c r="X102" s="123">
        <f t="shared" si="26"/>
        <v>245.46</v>
      </c>
      <c r="Y102" s="123">
        <f t="shared" si="26"/>
        <v>242.22</v>
      </c>
      <c r="Z102" s="123">
        <f t="shared" si="26"/>
        <v>634.01</v>
      </c>
      <c r="AA102" s="123" t="str">
        <f t="shared" si="26"/>
        <v>-</v>
      </c>
      <c r="AB102" s="123">
        <f t="shared" si="26"/>
        <v>563.77</v>
      </c>
      <c r="AC102" s="123" t="str">
        <f t="shared" si="26"/>
        <v>-</v>
      </c>
      <c r="AD102" s="123">
        <f t="shared" si="26"/>
        <v>1317.17</v>
      </c>
      <c r="AE102" s="123" t="str">
        <f t="shared" si="26"/>
        <v>-</v>
      </c>
      <c r="AF102" s="123" t="str">
        <f t="shared" si="26"/>
        <v>-</v>
      </c>
    </row>
    <row r="103">
      <c r="A103" s="121" t="s">
        <v>99</v>
      </c>
      <c r="B103" s="144"/>
      <c r="C103" s="144"/>
      <c r="D103" s="144"/>
      <c r="E103" s="142">
        <v>1416.6</v>
      </c>
      <c r="F103" s="142">
        <v>1725.78</v>
      </c>
      <c r="G103" s="142">
        <v>2211.59</v>
      </c>
      <c r="H103" s="142">
        <v>2111.4</v>
      </c>
      <c r="I103" s="142">
        <v>2906.18</v>
      </c>
      <c r="J103" s="142">
        <v>2210.69</v>
      </c>
      <c r="K103" s="142">
        <v>684.28</v>
      </c>
      <c r="L103" s="142">
        <v>1767.0</v>
      </c>
      <c r="M103" s="142">
        <v>274.93</v>
      </c>
      <c r="N103" s="142">
        <v>1245.79</v>
      </c>
      <c r="O103" s="142">
        <v>3958.56</v>
      </c>
      <c r="P103" s="142">
        <v>786.54</v>
      </c>
      <c r="Q103" s="142">
        <v>1518.14</v>
      </c>
      <c r="R103" s="122">
        <v>1690.75</v>
      </c>
      <c r="S103" s="122">
        <v>980.2</v>
      </c>
      <c r="T103" s="122">
        <v>1433.71</v>
      </c>
      <c r="U103" s="122">
        <v>1832.87</v>
      </c>
      <c r="V103" s="122">
        <v>2407.88</v>
      </c>
      <c r="W103" s="122">
        <v>282.12</v>
      </c>
      <c r="X103" s="122">
        <v>245.46</v>
      </c>
      <c r="Y103" s="122">
        <v>726.66</v>
      </c>
      <c r="Z103" s="122">
        <v>1268.02</v>
      </c>
      <c r="AA103" s="122">
        <v>1831.15</v>
      </c>
      <c r="AB103" s="122">
        <v>563.77</v>
      </c>
      <c r="AC103" s="122">
        <v>160.07</v>
      </c>
      <c r="AD103" s="122">
        <v>1317.17</v>
      </c>
      <c r="AE103" s="122">
        <v>399.88</v>
      </c>
      <c r="AF103" s="122">
        <v>533.1</v>
      </c>
    </row>
    <row r="104">
      <c r="A104" s="51"/>
      <c r="B104" s="87"/>
      <c r="C104" s="85"/>
      <c r="D104" s="85"/>
      <c r="E104" s="85"/>
      <c r="F104" s="85"/>
      <c r="G104" s="85"/>
      <c r="H104" s="85"/>
      <c r="I104" s="85"/>
      <c r="J104" s="85"/>
      <c r="K104" s="51"/>
      <c r="L104" s="51"/>
    </row>
    <row r="105">
      <c r="A105" s="26" t="s">
        <v>106</v>
      </c>
      <c r="B105" s="27" t="s">
        <v>1</v>
      </c>
      <c r="C105" s="28" t="s">
        <v>2</v>
      </c>
      <c r="D105" s="28" t="str">
        <f>CONCATENATE("Выполнено ",INT('ВАЖ ОП'!AJ160/'ВАЖ ОП'!AK160*100),"%")</f>
        <v>#DIV/0!</v>
      </c>
      <c r="E105" s="28" t="s">
        <v>4</v>
      </c>
      <c r="F105" s="29" t="s">
        <v>5</v>
      </c>
      <c r="G105" s="29" t="s">
        <v>6</v>
      </c>
      <c r="H105" s="28" t="s">
        <v>7</v>
      </c>
      <c r="I105" s="28" t="s">
        <v>8</v>
      </c>
      <c r="J105" s="29" t="s">
        <v>10</v>
      </c>
      <c r="K105" s="16"/>
      <c r="L105" s="51"/>
    </row>
    <row r="106">
      <c r="A106" s="112" t="s">
        <v>93</v>
      </c>
      <c r="B106" s="113">
        <v>13.0</v>
      </c>
      <c r="C106" s="78">
        <f>SUM(B110:AE110)</f>
        <v>1</v>
      </c>
      <c r="D106" s="135"/>
      <c r="E106" s="91"/>
      <c r="F106" s="78" t="str">
        <f>C106/'ВАЖ ОП'!AJ160*'ВАЖ ОП'!AK160</f>
        <v>#DIV/0!</v>
      </c>
      <c r="G106" s="136"/>
      <c r="H106" s="78"/>
      <c r="I106" s="114"/>
      <c r="J106" s="115" t="str">
        <f>C106/'ВАЖ ОП'!AJ160</f>
        <v>#DIV/0!</v>
      </c>
      <c r="K106" s="13"/>
      <c r="L106" s="13"/>
    </row>
    <row r="107">
      <c r="A107" s="112" t="s">
        <v>94</v>
      </c>
      <c r="B107" s="78">
        <f>B108/B106</f>
        <v>2000</v>
      </c>
      <c r="C107" s="132">
        <f>IFERROR(C108/C106,"-")</f>
        <v>12568.88</v>
      </c>
      <c r="D107" s="93"/>
      <c r="E107" s="84"/>
      <c r="F107" s="132" t="str">
        <f>IFERROR(F108/F106,"-")</f>
        <v>-</v>
      </c>
      <c r="H107" s="79"/>
      <c r="I107" s="78"/>
      <c r="J107" s="116"/>
      <c r="K107" s="13"/>
      <c r="L107" s="13"/>
    </row>
    <row r="108">
      <c r="A108" s="112" t="s">
        <v>95</v>
      </c>
      <c r="B108" s="113">
        <v>26000.0</v>
      </c>
      <c r="C108" s="78">
        <f>SUM(B112:AE112)</f>
        <v>12568.88</v>
      </c>
      <c r="D108" s="135"/>
      <c r="E108" s="78"/>
      <c r="F108" s="78" t="str">
        <f>C108/'ВАЖ ОП'!AJ160*'ВАЖ ОП'!AK160</f>
        <v>#DIV/0!</v>
      </c>
      <c r="G108" s="136"/>
      <c r="H108" s="78"/>
      <c r="I108" s="78"/>
      <c r="J108" s="91" t="str">
        <f>C108/'ВАЖ ОП'!AJ160</f>
        <v>#DIV/0!</v>
      </c>
      <c r="K108" s="87"/>
      <c r="L108" s="13"/>
    </row>
    <row r="109">
      <c r="A109" s="119" t="s">
        <v>108</v>
      </c>
      <c r="B109" s="120">
        <v>44470.0</v>
      </c>
      <c r="C109" s="120">
        <v>44471.0</v>
      </c>
      <c r="D109" s="120">
        <v>44472.0</v>
      </c>
      <c r="E109" s="120">
        <v>44473.0</v>
      </c>
      <c r="F109" s="120">
        <v>44474.0</v>
      </c>
      <c r="G109" s="120">
        <v>44475.0</v>
      </c>
      <c r="H109" s="120">
        <v>44476.0</v>
      </c>
      <c r="I109" s="120">
        <v>44477.0</v>
      </c>
      <c r="J109" s="120">
        <v>44478.0</v>
      </c>
      <c r="K109" s="120">
        <v>44479.0</v>
      </c>
      <c r="L109" s="120">
        <v>44480.0</v>
      </c>
      <c r="M109" s="120">
        <v>44481.0</v>
      </c>
      <c r="N109" s="120">
        <v>44482.0</v>
      </c>
      <c r="O109" s="120">
        <v>44483.0</v>
      </c>
      <c r="P109" s="120">
        <v>44484.0</v>
      </c>
      <c r="Q109" s="120">
        <v>44485.0</v>
      </c>
      <c r="R109" s="120">
        <v>44486.0</v>
      </c>
      <c r="S109" s="120">
        <v>44487.0</v>
      </c>
      <c r="T109" s="120">
        <v>44488.0</v>
      </c>
      <c r="U109" s="120">
        <v>44489.0</v>
      </c>
      <c r="V109" s="120">
        <v>44490.0</v>
      </c>
      <c r="W109" s="120">
        <v>44491.0</v>
      </c>
      <c r="X109" s="120">
        <v>44492.0</v>
      </c>
      <c r="Y109" s="120">
        <v>44493.0</v>
      </c>
      <c r="Z109" s="120">
        <v>44494.0</v>
      </c>
      <c r="AA109" s="120">
        <v>44495.0</v>
      </c>
      <c r="AB109" s="120">
        <v>44496.0</v>
      </c>
      <c r="AC109" s="120">
        <v>44497.0</v>
      </c>
      <c r="AD109" s="120">
        <v>44498.0</v>
      </c>
      <c r="AE109" s="120">
        <v>44499.0</v>
      </c>
      <c r="AF109" s="120">
        <v>44500.0</v>
      </c>
    </row>
    <row r="110">
      <c r="A110" s="121" t="s">
        <v>93</v>
      </c>
      <c r="B110" s="122"/>
      <c r="C110" s="122">
        <v>1.0</v>
      </c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</row>
    <row r="111">
      <c r="A111" s="121" t="s">
        <v>94</v>
      </c>
      <c r="B111" s="123" t="str">
        <f t="shared" ref="B111:AF111" si="27">IFERROR(B112/B110,"-")</f>
        <v>-</v>
      </c>
      <c r="C111" s="123">
        <f t="shared" si="27"/>
        <v>0</v>
      </c>
      <c r="D111" s="123" t="str">
        <f t="shared" si="27"/>
        <v>-</v>
      </c>
      <c r="E111" s="123" t="str">
        <f t="shared" si="27"/>
        <v>-</v>
      </c>
      <c r="F111" s="123" t="str">
        <f t="shared" si="27"/>
        <v>-</v>
      </c>
      <c r="G111" s="123" t="str">
        <f t="shared" si="27"/>
        <v>-</v>
      </c>
      <c r="H111" s="123" t="str">
        <f t="shared" si="27"/>
        <v>-</v>
      </c>
      <c r="I111" s="123" t="str">
        <f t="shared" si="27"/>
        <v>-</v>
      </c>
      <c r="J111" s="123" t="str">
        <f t="shared" si="27"/>
        <v>-</v>
      </c>
      <c r="K111" s="123" t="str">
        <f t="shared" si="27"/>
        <v>-</v>
      </c>
      <c r="L111" s="123" t="str">
        <f t="shared" si="27"/>
        <v>-</v>
      </c>
      <c r="M111" s="123" t="str">
        <f t="shared" si="27"/>
        <v>-</v>
      </c>
      <c r="N111" s="123" t="str">
        <f t="shared" si="27"/>
        <v>-</v>
      </c>
      <c r="O111" s="123" t="str">
        <f t="shared" si="27"/>
        <v>-</v>
      </c>
      <c r="P111" s="123" t="str">
        <f t="shared" si="27"/>
        <v>-</v>
      </c>
      <c r="Q111" s="123" t="str">
        <f t="shared" si="27"/>
        <v>-</v>
      </c>
      <c r="R111" s="123" t="str">
        <f t="shared" si="27"/>
        <v>-</v>
      </c>
      <c r="S111" s="123" t="str">
        <f t="shared" si="27"/>
        <v>-</v>
      </c>
      <c r="T111" s="123" t="str">
        <f t="shared" si="27"/>
        <v>-</v>
      </c>
      <c r="U111" s="123" t="str">
        <f t="shared" si="27"/>
        <v>-</v>
      </c>
      <c r="V111" s="123" t="str">
        <f t="shared" si="27"/>
        <v>-</v>
      </c>
      <c r="W111" s="123" t="str">
        <f t="shared" si="27"/>
        <v>-</v>
      </c>
      <c r="X111" s="123" t="str">
        <f t="shared" si="27"/>
        <v>-</v>
      </c>
      <c r="Y111" s="123" t="str">
        <f t="shared" si="27"/>
        <v>-</v>
      </c>
      <c r="Z111" s="123" t="str">
        <f t="shared" si="27"/>
        <v>-</v>
      </c>
      <c r="AA111" s="123" t="str">
        <f t="shared" si="27"/>
        <v>-</v>
      </c>
      <c r="AB111" s="123" t="str">
        <f t="shared" si="27"/>
        <v>-</v>
      </c>
      <c r="AC111" s="123" t="str">
        <f t="shared" si="27"/>
        <v>-</v>
      </c>
      <c r="AD111" s="123" t="str">
        <f t="shared" si="27"/>
        <v>-</v>
      </c>
      <c r="AE111" s="123" t="str">
        <f t="shared" si="27"/>
        <v>-</v>
      </c>
      <c r="AF111" s="123" t="str">
        <f t="shared" si="27"/>
        <v>-</v>
      </c>
    </row>
    <row r="112">
      <c r="A112" s="121" t="s">
        <v>99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>
        <v>1118.32</v>
      </c>
      <c r="R112" s="122">
        <v>1230.91</v>
      </c>
      <c r="S112" s="122">
        <v>1396.92</v>
      </c>
      <c r="T112" s="122">
        <v>15.65</v>
      </c>
      <c r="U112" s="122">
        <v>847.13</v>
      </c>
      <c r="V112" s="122">
        <v>1163.12</v>
      </c>
      <c r="W112" s="122">
        <v>1560.0</v>
      </c>
      <c r="X112" s="122">
        <v>1275.35</v>
      </c>
      <c r="Y112" s="122">
        <v>1920.58</v>
      </c>
      <c r="Z112" s="122">
        <v>2040.9</v>
      </c>
      <c r="AA112" s="123"/>
      <c r="AB112" s="123"/>
      <c r="AC112" s="123"/>
      <c r="AD112" s="123"/>
      <c r="AE112" s="123"/>
      <c r="AF112" s="123"/>
    </row>
    <row r="113">
      <c r="A113" s="35"/>
      <c r="B113" s="53"/>
      <c r="C113" s="53"/>
      <c r="D113" s="53"/>
      <c r="E113" s="53"/>
      <c r="F113" s="55"/>
      <c r="G113" s="55"/>
      <c r="H113" s="54"/>
      <c r="I113" s="54"/>
      <c r="J113" s="54"/>
      <c r="K113" s="54"/>
      <c r="L113" s="54"/>
    </row>
    <row r="114">
      <c r="A114" s="26" t="s">
        <v>100</v>
      </c>
      <c r="B114" s="27" t="s">
        <v>1</v>
      </c>
      <c r="C114" s="28" t="s">
        <v>2</v>
      </c>
      <c r="D114" s="28" t="str">
        <f>CONCATENATE("Выполнено ",INT('ВАЖ ОП'!AJ160/'ВАЖ ОП'!AK160*100),"%")</f>
        <v>#DIV/0!</v>
      </c>
      <c r="E114" s="28" t="s">
        <v>4</v>
      </c>
      <c r="F114" s="29" t="s">
        <v>5</v>
      </c>
      <c r="G114" s="29" t="s">
        <v>6</v>
      </c>
      <c r="H114" s="28" t="s">
        <v>7</v>
      </c>
      <c r="I114" s="28" t="s">
        <v>8</v>
      </c>
      <c r="J114" s="29" t="s">
        <v>10</v>
      </c>
      <c r="K114" s="16"/>
      <c r="L114" s="51"/>
    </row>
    <row r="115">
      <c r="A115" s="112" t="s">
        <v>93</v>
      </c>
      <c r="B115" s="113">
        <v>15.0</v>
      </c>
      <c r="C115" s="78">
        <f>SUM(B119:AE119)</f>
        <v>15</v>
      </c>
      <c r="D115" s="93">
        <f>C115/B115</f>
        <v>1</v>
      </c>
      <c r="E115" s="91">
        <f>B115-C115</f>
        <v>0</v>
      </c>
      <c r="F115" s="78" t="str">
        <f>C115/'ВАЖ ОП'!AJ160*'ВАЖ ОП'!AK160</f>
        <v>#DIV/0!</v>
      </c>
      <c r="G115" s="129" t="str">
        <f t="shared" ref="G115:G117" si="29">F115/B115</f>
        <v>#DIV/0!</v>
      </c>
      <c r="H115" s="78" t="str">
        <f>F115-B115</f>
        <v>#DIV/0!</v>
      </c>
      <c r="I115" s="114" t="str">
        <f>E115/('ВАЖ ОП'!AK160-'ВАЖ ОП'!AJ160)</f>
        <v>#DIV/0!</v>
      </c>
      <c r="J115" s="115" t="str">
        <f>C115/'ВАЖ ОП'!AJ160</f>
        <v>#DIV/0!</v>
      </c>
      <c r="K115" s="79"/>
      <c r="L115" s="79"/>
    </row>
    <row r="116">
      <c r="A116" s="112" t="s">
        <v>94</v>
      </c>
      <c r="B116" s="78">
        <f t="shared" ref="B116:C116" si="28">B117/B115</f>
        <v>2000</v>
      </c>
      <c r="C116" s="78">
        <f t="shared" si="28"/>
        <v>183.398</v>
      </c>
      <c r="D116" s="93"/>
      <c r="E116" s="79"/>
      <c r="F116" s="78" t="str">
        <f>F117/F115</f>
        <v>#DIV/0!</v>
      </c>
      <c r="G116" s="93" t="str">
        <f t="shared" si="29"/>
        <v>#DIV/0!</v>
      </c>
      <c r="H116" s="79"/>
      <c r="I116" s="78"/>
      <c r="J116" s="116"/>
      <c r="K116" s="79"/>
      <c r="L116" s="79"/>
    </row>
    <row r="117">
      <c r="A117" s="112" t="s">
        <v>95</v>
      </c>
      <c r="B117" s="113">
        <v>30000.0</v>
      </c>
      <c r="C117" s="78">
        <f>SUM(B121:AE121)</f>
        <v>2750.97</v>
      </c>
      <c r="D117" s="93">
        <f>C117/B117</f>
        <v>0.091699</v>
      </c>
      <c r="E117" s="78">
        <f>B117-C117</f>
        <v>27249.03</v>
      </c>
      <c r="F117" s="78" t="str">
        <f>C117/'ВАЖ ОП'!AJ160*'ВАЖ ОП'!AK160</f>
        <v>#DIV/0!</v>
      </c>
      <c r="G117" s="129" t="str">
        <f t="shared" si="29"/>
        <v>#DIV/0!</v>
      </c>
      <c r="H117" s="78" t="str">
        <f>F117-B117</f>
        <v>#DIV/0!</v>
      </c>
      <c r="I117" s="78" t="str">
        <f>E117/('ВАЖ ОП'!AK160-'ВАЖ ОП'!AJ160)</f>
        <v>#DIV/0!</v>
      </c>
      <c r="J117" s="91" t="str">
        <f>C117/'ВАЖ ОП'!AJ160</f>
        <v>#DIV/0!</v>
      </c>
      <c r="K117" s="79"/>
      <c r="L117" s="79"/>
    </row>
    <row r="118">
      <c r="A118" s="119" t="s">
        <v>101</v>
      </c>
      <c r="B118" s="120">
        <v>44470.0</v>
      </c>
      <c r="C118" s="120">
        <v>44471.0</v>
      </c>
      <c r="D118" s="120">
        <v>44472.0</v>
      </c>
      <c r="E118" s="120">
        <v>44473.0</v>
      </c>
      <c r="F118" s="120">
        <v>44474.0</v>
      </c>
      <c r="G118" s="120">
        <v>44475.0</v>
      </c>
      <c r="H118" s="120">
        <v>44476.0</v>
      </c>
      <c r="I118" s="120">
        <v>44477.0</v>
      </c>
      <c r="J118" s="120">
        <v>44478.0</v>
      </c>
      <c r="K118" s="120">
        <v>44479.0</v>
      </c>
      <c r="L118" s="120">
        <v>44480.0</v>
      </c>
      <c r="M118" s="120">
        <v>44481.0</v>
      </c>
      <c r="N118" s="120">
        <v>44482.0</v>
      </c>
      <c r="O118" s="120">
        <v>44483.0</v>
      </c>
      <c r="P118" s="120">
        <v>44484.0</v>
      </c>
      <c r="Q118" s="120">
        <v>44485.0</v>
      </c>
      <c r="R118" s="120">
        <v>44486.0</v>
      </c>
      <c r="S118" s="120">
        <v>44487.0</v>
      </c>
      <c r="T118" s="120">
        <v>44488.0</v>
      </c>
      <c r="U118" s="120">
        <v>44489.0</v>
      </c>
      <c r="V118" s="120">
        <v>44490.0</v>
      </c>
      <c r="W118" s="120">
        <v>44491.0</v>
      </c>
      <c r="X118" s="120">
        <v>44492.0</v>
      </c>
      <c r="Y118" s="120">
        <v>44493.0</v>
      </c>
      <c r="Z118" s="120">
        <v>44494.0</v>
      </c>
      <c r="AA118" s="120">
        <v>44495.0</v>
      </c>
      <c r="AB118" s="120">
        <v>44496.0</v>
      </c>
      <c r="AC118" s="120">
        <v>44497.0</v>
      </c>
      <c r="AD118" s="120">
        <v>44498.0</v>
      </c>
      <c r="AE118" s="120">
        <v>44499.0</v>
      </c>
      <c r="AF118" s="120">
        <v>44500.0</v>
      </c>
    </row>
    <row r="119">
      <c r="A119" s="121" t="s">
        <v>93</v>
      </c>
      <c r="B119" s="148"/>
      <c r="C119" s="149"/>
      <c r="D119" s="90"/>
      <c r="E119" s="141">
        <v>1.0</v>
      </c>
      <c r="F119" s="90"/>
      <c r="G119" s="148">
        <v>1.0</v>
      </c>
      <c r="H119" s="90"/>
      <c r="I119" s="149"/>
      <c r="J119" s="141">
        <v>1.0</v>
      </c>
      <c r="K119" s="148">
        <v>2.0</v>
      </c>
      <c r="L119" s="141">
        <v>1.0</v>
      </c>
      <c r="M119" s="141">
        <v>1.0</v>
      </c>
      <c r="N119" s="141">
        <v>1.0</v>
      </c>
      <c r="O119" s="149"/>
      <c r="P119" s="148">
        <v>1.0</v>
      </c>
      <c r="Q119" s="141">
        <v>1.0</v>
      </c>
      <c r="R119" s="122"/>
      <c r="S119" s="122"/>
      <c r="T119" s="122">
        <v>1.0</v>
      </c>
      <c r="U119" s="123"/>
      <c r="V119" s="122">
        <v>2.0</v>
      </c>
      <c r="W119" s="122">
        <v>1.0</v>
      </c>
      <c r="X119" s="123"/>
      <c r="Y119" s="122"/>
      <c r="Z119" s="122">
        <v>1.0</v>
      </c>
      <c r="AA119" s="123"/>
      <c r="AB119" s="123"/>
      <c r="AC119" s="122"/>
      <c r="AD119" s="123"/>
      <c r="AE119" s="123"/>
      <c r="AF119" s="123"/>
    </row>
    <row r="120">
      <c r="A120" s="121" t="s">
        <v>94</v>
      </c>
      <c r="B120" s="123" t="str">
        <f t="shared" ref="B120:AF120" si="30">IFERROR(B121/B119,"-")</f>
        <v>-</v>
      </c>
      <c r="C120" s="123" t="str">
        <f t="shared" si="30"/>
        <v>-</v>
      </c>
      <c r="D120" s="123" t="str">
        <f t="shared" si="30"/>
        <v>-</v>
      </c>
      <c r="E120" s="123">
        <f t="shared" si="30"/>
        <v>0</v>
      </c>
      <c r="F120" s="123" t="str">
        <f t="shared" si="30"/>
        <v>-</v>
      </c>
      <c r="G120" s="123">
        <f t="shared" si="30"/>
        <v>0</v>
      </c>
      <c r="H120" s="123" t="str">
        <f t="shared" si="30"/>
        <v>-</v>
      </c>
      <c r="I120" s="123" t="str">
        <f t="shared" si="30"/>
        <v>-</v>
      </c>
      <c r="J120" s="123">
        <f t="shared" si="30"/>
        <v>0</v>
      </c>
      <c r="K120" s="123">
        <f t="shared" si="30"/>
        <v>580.355</v>
      </c>
      <c r="L120" s="123">
        <f t="shared" si="30"/>
        <v>1590.26</v>
      </c>
      <c r="M120" s="123">
        <f t="shared" si="30"/>
        <v>0</v>
      </c>
      <c r="N120" s="123">
        <f t="shared" si="30"/>
        <v>0</v>
      </c>
      <c r="O120" s="123" t="str">
        <f t="shared" si="30"/>
        <v>-</v>
      </c>
      <c r="P120" s="123">
        <f t="shared" si="30"/>
        <v>0</v>
      </c>
      <c r="Q120" s="123">
        <f t="shared" si="30"/>
        <v>0</v>
      </c>
      <c r="R120" s="123" t="str">
        <f t="shared" si="30"/>
        <v>-</v>
      </c>
      <c r="S120" s="123" t="str">
        <f t="shared" si="30"/>
        <v>-</v>
      </c>
      <c r="T120" s="123">
        <f t="shared" si="30"/>
        <v>0</v>
      </c>
      <c r="U120" s="123" t="str">
        <f t="shared" si="30"/>
        <v>-</v>
      </c>
      <c r="V120" s="123">
        <f t="shared" si="30"/>
        <v>0</v>
      </c>
      <c r="W120" s="123">
        <f t="shared" si="30"/>
        <v>0</v>
      </c>
      <c r="X120" s="123" t="str">
        <f t="shared" si="30"/>
        <v>-</v>
      </c>
      <c r="Y120" s="123" t="str">
        <f t="shared" si="30"/>
        <v>-</v>
      </c>
      <c r="Z120" s="123">
        <f t="shared" si="30"/>
        <v>0</v>
      </c>
      <c r="AA120" s="123" t="str">
        <f t="shared" si="30"/>
        <v>-</v>
      </c>
      <c r="AB120" s="123" t="str">
        <f t="shared" si="30"/>
        <v>-</v>
      </c>
      <c r="AC120" s="123" t="str">
        <f t="shared" si="30"/>
        <v>-</v>
      </c>
      <c r="AD120" s="123" t="str">
        <f t="shared" si="30"/>
        <v>-</v>
      </c>
      <c r="AE120" s="123" t="str">
        <f t="shared" si="30"/>
        <v>-</v>
      </c>
      <c r="AF120" s="123" t="str">
        <f t="shared" si="30"/>
        <v>-</v>
      </c>
    </row>
    <row r="121">
      <c r="A121" s="121" t="s">
        <v>99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2">
        <v>1160.71</v>
      </c>
      <c r="L121" s="142">
        <v>1590.26</v>
      </c>
      <c r="M121" s="145"/>
      <c r="N121" s="144"/>
      <c r="O121" s="144"/>
      <c r="P121" s="144"/>
      <c r="Q121" s="144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</row>
    <row r="123">
      <c r="A123" s="26"/>
      <c r="B123" s="27"/>
      <c r="C123" s="28"/>
      <c r="D123" s="28"/>
      <c r="E123" s="28"/>
      <c r="F123" s="29"/>
      <c r="G123" s="29"/>
      <c r="H123" s="28"/>
      <c r="I123" s="28"/>
      <c r="J123" s="29"/>
      <c r="K123" s="16"/>
      <c r="L123" s="51"/>
    </row>
    <row r="124">
      <c r="A124" s="112"/>
      <c r="B124" s="113"/>
      <c r="C124" s="78"/>
      <c r="D124" s="135"/>
      <c r="E124" s="91"/>
      <c r="F124" s="78"/>
      <c r="H124" s="78"/>
      <c r="I124" s="114"/>
      <c r="J124" s="115"/>
      <c r="K124" s="79"/>
      <c r="L124" s="79"/>
    </row>
    <row r="125">
      <c r="A125" s="112"/>
      <c r="B125" s="113"/>
      <c r="C125" s="132"/>
      <c r="D125" s="93"/>
      <c r="E125" s="79"/>
      <c r="F125" s="78"/>
      <c r="H125" s="79"/>
      <c r="I125" s="78"/>
      <c r="J125" s="116"/>
      <c r="K125" s="79"/>
      <c r="L125" s="79"/>
    </row>
    <row r="126">
      <c r="A126" s="112"/>
      <c r="B126" s="113"/>
      <c r="C126" s="78"/>
      <c r="D126" s="93"/>
      <c r="E126" s="78"/>
      <c r="F126" s="78"/>
      <c r="G126" s="129"/>
      <c r="H126" s="78"/>
      <c r="I126" s="78"/>
      <c r="J126" s="91"/>
      <c r="K126" s="79"/>
      <c r="L126" s="79"/>
    </row>
    <row r="127">
      <c r="A127" s="119"/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</row>
  </sheetData>
  <conditionalFormatting sqref="G4 G10 G28 G37 G39 G45 G63 G93 G99 G117 G126">
    <cfRule type="cellIs" dxfId="1" priority="1" operator="lessThanOrEqual">
      <formula>"100%"</formula>
    </cfRule>
  </conditionalFormatting>
  <conditionalFormatting sqref="G17 G52 G106">
    <cfRule type="cellIs" dxfId="0" priority="2" operator="lessThan">
      <formula>"100%"</formula>
    </cfRule>
  </conditionalFormatting>
  <conditionalFormatting sqref="G19 G54 G108">
    <cfRule type="cellIs" dxfId="1" priority="3" operator="lessThan">
      <formula>"100%"</formula>
    </cfRule>
  </conditionalFormatting>
  <conditionalFormatting sqref="G4 G10 G28 G37 G39 G45 G63 G93 G99 G117 G126">
    <cfRule type="cellIs" dxfId="0" priority="4" operator="greaterThan">
      <formula>"100%"</formula>
    </cfRule>
  </conditionalFormatting>
  <conditionalFormatting sqref="H19 H54 H108">
    <cfRule type="cellIs" dxfId="1" priority="5" operator="lessThan">
      <formula>0</formula>
    </cfRule>
  </conditionalFormatting>
  <conditionalFormatting sqref="H4 H10 H19 H28 H37 H39 H45 H54 H63 H93 H99 H108 H117 H126">
    <cfRule type="cellIs" dxfId="0" priority="6" operator="greaterThan">
      <formula>0</formula>
    </cfRule>
  </conditionalFormatting>
  <conditionalFormatting sqref="H2 H8 H26 H35 H37 H43 H61 H91 H97 H115 H124">
    <cfRule type="cellIs" dxfId="1" priority="7" operator="greaterThanOrEqual">
      <formula>0</formula>
    </cfRule>
  </conditionalFormatting>
  <conditionalFormatting sqref="H4 H10 H19 H28 H37 H39 H45 H54 H63 H93 H99 H108 H117 H126">
    <cfRule type="cellIs" dxfId="1" priority="8" operator="lessThanOrEqual">
      <formula>0</formula>
    </cfRule>
  </conditionalFormatting>
  <conditionalFormatting sqref="H2 H8 H26 H35 H37 H43 H61 H91 H97 H115 H124">
    <cfRule type="cellIs" dxfId="0" priority="9" operator="lessThan">
      <formula>0</formula>
    </cfRule>
  </conditionalFormatting>
  <conditionalFormatting sqref="G2 G8 G17 G26 G37 G43 G52 G61 G91 G97 G106 G115">
    <cfRule type="cellIs" dxfId="1" priority="10" operator="greaterThanOrEqual">
      <formula>"100%"</formula>
    </cfRule>
  </conditionalFormatting>
  <conditionalFormatting sqref="C3 C38 C92">
    <cfRule type="cellIs" dxfId="0" priority="11" operator="greaterThan">
      <formula>B3</formula>
    </cfRule>
  </conditionalFormatting>
  <conditionalFormatting sqref="G3 G9 G27 G38 G44 G62 G92 G98 G116">
    <cfRule type="cellIs" dxfId="1" priority="12" operator="lessThanOrEqual">
      <formula>"100%"</formula>
    </cfRule>
  </conditionalFormatting>
  <conditionalFormatting sqref="G3 G9 G27 G38 G44 G62 G92 G98 G116">
    <cfRule type="cellIs" dxfId="3" priority="13" operator="greaterThan">
      <formula>"100%"</formula>
    </cfRule>
  </conditionalFormatting>
  <conditionalFormatting sqref="G2 G8 G17 G26 G37 G43 G52 G61 G91 G97 G106 G115">
    <cfRule type="cellIs" dxfId="0" priority="14" operator="lessThan">
      <formula>"100%"</formula>
    </cfRule>
  </conditionalFormatting>
  <drawing r:id="rId1"/>
</worksheet>
</file>